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datos/02 Consultoria/012_CABILDO_TFE/0_Asis_SASPI_2019-2020/PAIF/REVISIÓN/REVISADOS/32_TEA/3/"/>
    </mc:Choice>
  </mc:AlternateContent>
  <xr:revisionPtr revIDLastSave="0" documentId="13_ncr:1_{F9029183-81C2-B747-8DFF-D90C2852818A}" xr6:coauthVersionLast="45" xr6:coauthVersionMax="45" xr10:uidLastSave="{00000000-0000-0000-0000-000000000000}"/>
  <bookViews>
    <workbookView xWindow="22440" yWindow="460" windowWidth="30200" windowHeight="27500" tabRatio="875" xr2:uid="{00000000-000D-0000-FFFF-FFFF00000000}"/>
  </bookViews>
  <sheets>
    <sheet name="_GENERAL" sheetId="4" r:id="rId1"/>
    <sheet name="_CHECK_LIST" sheetId="37" r:id="rId2"/>
    <sheet name="FC-1_ORGANOS_GOBIERNO" sheetId="1" r:id="rId3"/>
    <sheet name="FC-2_ACCIONISTAS" sheetId="3" r:id="rId4"/>
    <sheet name="FC-3_CPyG" sheetId="7" r:id="rId5"/>
    <sheet name="FC-3_1_INF_ADIC_CPyG" sheetId="36" r:id="rId6"/>
    <sheet name="FC-4_ACTIVO" sheetId="9" r:id="rId7"/>
    <sheet name="FC-4_PASIVO" sheetId="14" r:id="rId8"/>
    <sheet name="FC-4_1_MOV_FP" sheetId="42" r:id="rId9"/>
    <sheet name="FC-5_EFE" sheetId="12" r:id="rId10"/>
    <sheet name="FC-6_Inversiones" sheetId="13" r:id="rId11"/>
    <sheet name="FC-7_INF" sheetId="15" r:id="rId12"/>
    <sheet name="FC-8_INV_FINANCIERAS" sheetId="17" r:id="rId13"/>
    <sheet name="FC-9_TRANS_SUBV" sheetId="39" r:id="rId14"/>
    <sheet name="FC-10_DEUDAS" sheetId="23" r:id="rId15"/>
    <sheet name="FC-11_DEUDA_VIVA" sheetId="20" r:id="rId16"/>
    <sheet name="FC-12_PERFIL_VTO_DEUDA" sheetId="21" r:id="rId17"/>
    <sheet name="FC-13_PERSONAL" sheetId="25" r:id="rId18"/>
    <sheet name="FC-14_OPER_INTERNAS" sheetId="27" r:id="rId19"/>
    <sheet name="FC-15_ENCARGOS" sheetId="28" r:id="rId20"/>
    <sheet name="_FC-16_ESTAB_PRESUP" sheetId="29" r:id="rId21"/>
    <sheet name="FC-16_1_ INF_ADIC_ESTAB_PRESUP" sheetId="43" r:id="rId22"/>
    <sheet name="FC-17_FINANCIACIÓN" sheetId="31" r:id="rId23"/>
    <sheet name="FC-90" sheetId="34" r:id="rId24"/>
    <sheet name="_FC-90_DETALLE" sheetId="41" state="hidden" r:id="rId25"/>
  </sheets>
  <definedNames>
    <definedName name="_xlnm.Print_Area" localSheetId="1">_CHECK_LIST!$B$5:$H$62</definedName>
    <definedName name="_xlnm.Print_Area" localSheetId="20">'_FC-16_ESTAB_PRESUP'!$B$1:$H$58</definedName>
    <definedName name="_xlnm.Print_Area" localSheetId="0">_GENERAL!$B$5:$N$44</definedName>
    <definedName name="_xlnm.Print_Area" localSheetId="2">'FC-1_ORGANOS_GOBIERNO'!$B$1:$I$48</definedName>
    <definedName name="_xlnm.Print_Area" localSheetId="14">'FC-10_DEUDAS'!$B$5:$T$120</definedName>
    <definedName name="_xlnm.Print_Area" localSheetId="15">'FC-11_DEUDA_VIVA'!$B$1:$J$42</definedName>
    <definedName name="_xlnm.Print_Area" localSheetId="16">'FC-12_PERFIL_VTO_DEUDA'!$B$1:$O$30</definedName>
    <definedName name="_xlnm.Print_Area" localSheetId="17">'FC-13_PERSONAL'!$B$1:$K$71</definedName>
    <definedName name="_xlnm.Print_Area" localSheetId="18">'FC-14_OPER_INTERNAS'!$B$1:$I$81</definedName>
    <definedName name="_xlnm.Print_Area" localSheetId="19">'FC-15_ENCARGOS'!$B$1:$H$41</definedName>
    <definedName name="_xlnm.Print_Area" localSheetId="21">'FC-16_1_ INF_ADIC_ESTAB_PRESUP'!$B$1:$L$41</definedName>
    <definedName name="_xlnm.Print_Area" localSheetId="22">'FC-17_FINANCIACIÓN'!$B$1:$F$46</definedName>
    <definedName name="_xlnm.Print_Area" localSheetId="3">'FC-2_ACCIONISTAS'!$B$1:$Q$61</definedName>
    <definedName name="_xlnm.Print_Area" localSheetId="5">'FC-3_1_INF_ADIC_CPyG'!$B$1:$N$102</definedName>
    <definedName name="_xlnm.Print_Area" localSheetId="4">'FC-3_CPyG'!$B$1:$H$92</definedName>
    <definedName name="_xlnm.Print_Area" localSheetId="8">'FC-4_1_MOV_FP'!$B$5:$Q$58</definedName>
    <definedName name="_xlnm.Print_Area" localSheetId="6">'FC-4_ACTIVO'!$B$1:$H$101</definedName>
    <definedName name="_xlnm.Print_Area" localSheetId="7">'FC-4_PASIVO'!$B$1:$H$93</definedName>
    <definedName name="_xlnm.Print_Area" localSheetId="9">'FC-5_EFE'!$B$1:$I$106</definedName>
    <definedName name="_xlnm.Print_Area" localSheetId="10">'FC-6_Inversiones'!$B$1:$S$61</definedName>
    <definedName name="_xlnm.Print_Area" localSheetId="11">'FC-7_INF'!$B$1:$P$53</definedName>
    <definedName name="_xlnm.Print_Area" localSheetId="12">'FC-8_INV_FINANCIERAS'!$B$1:$N$77</definedName>
    <definedName name="_xlnm.Print_Area" localSheetId="13">'FC-9_TRANS_SUBV'!$B$1:$Q$121</definedName>
    <definedName name="_xlnm.Print_Area" localSheetId="23">'FC-90'!$B$1:$F$70</definedName>
    <definedName name="DEPENDENCIA">_GENERAL!$H$15</definedName>
    <definedName name="ejercicio">_GENERAL!$D$15</definedName>
    <definedName name="Entidad">_GENERAL!$D$13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" i="39" l="1"/>
  <c r="L23" i="39"/>
  <c r="L22" i="39"/>
  <c r="L21" i="39"/>
  <c r="G91" i="9" l="1"/>
  <c r="G72" i="9" l="1"/>
  <c r="F70" i="9"/>
  <c r="F91" i="9"/>
  <c r="G41" i="14" l="1"/>
  <c r="G28" i="9" l="1"/>
  <c r="G81" i="36"/>
  <c r="G35" i="7"/>
  <c r="G29" i="7"/>
  <c r="S51" i="23" l="1"/>
  <c r="G71" i="14" l="1"/>
  <c r="F71" i="14"/>
  <c r="G54" i="14"/>
  <c r="F54" i="14"/>
  <c r="F68" i="36"/>
  <c r="F72" i="9" l="1"/>
  <c r="G69" i="36"/>
  <c r="G32" i="14"/>
  <c r="K53" i="42"/>
  <c r="H52" i="42"/>
  <c r="G31" i="14"/>
  <c r="H61" i="39"/>
  <c r="G78" i="14" l="1"/>
  <c r="E90" i="41" l="1"/>
  <c r="G25" i="39" l="1"/>
  <c r="G21" i="39"/>
  <c r="G22" i="39"/>
  <c r="J34" i="39" l="1"/>
  <c r="I28" i="15" l="1"/>
  <c r="I17" i="15"/>
  <c r="F29" i="7" l="1"/>
  <c r="F17" i="15"/>
  <c r="F81" i="14" l="1"/>
  <c r="H30" i="42" l="1"/>
  <c r="E82" i="36" l="1"/>
  <c r="E81" i="36" s="1"/>
  <c r="H42" i="36"/>
  <c r="E18" i="36"/>
  <c r="F18" i="36" l="1"/>
  <c r="E81" i="14"/>
  <c r="G25" i="9"/>
  <c r="E25" i="9"/>
  <c r="F25" i="9"/>
  <c r="G28" i="7" l="1"/>
  <c r="E36" i="29" l="1"/>
  <c r="J23" i="43"/>
  <c r="J14" i="43"/>
  <c r="E14" i="43"/>
  <c r="E19" i="43" l="1"/>
  <c r="E28" i="43"/>
  <c r="F28" i="43"/>
  <c r="G28" i="43"/>
  <c r="H28" i="43"/>
  <c r="I28" i="43"/>
  <c r="J25" i="43"/>
  <c r="J26" i="43"/>
  <c r="J27" i="43"/>
  <c r="J24" i="43"/>
  <c r="J18" i="43"/>
  <c r="F19" i="43"/>
  <c r="G19" i="43"/>
  <c r="H19" i="43"/>
  <c r="I19" i="43"/>
  <c r="E23" i="43"/>
  <c r="J17" i="43"/>
  <c r="J16" i="43"/>
  <c r="J15" i="43"/>
  <c r="D9" i="43"/>
  <c r="K6" i="43"/>
  <c r="D3" i="43"/>
  <c r="D2" i="43"/>
  <c r="E42" i="29" l="1"/>
  <c r="J28" i="43"/>
  <c r="J19" i="43"/>
  <c r="E35" i="29"/>
  <c r="E37" i="29" l="1"/>
  <c r="N31" i="15"/>
  <c r="N20" i="15"/>
  <c r="E26" i="31" l="1"/>
  <c r="E25" i="31"/>
  <c r="E24" i="31"/>
  <c r="J56" i="39" l="1"/>
  <c r="I56" i="39"/>
  <c r="E78" i="41" l="1"/>
  <c r="H78" i="41" s="1"/>
  <c r="H56" i="39"/>
  <c r="G47" i="37" s="1"/>
  <c r="G56" i="39"/>
  <c r="F47" i="37" s="1"/>
  <c r="H39" i="39"/>
  <c r="G39" i="39"/>
  <c r="G55" i="39"/>
  <c r="G57" i="36"/>
  <c r="E101" i="41" s="1"/>
  <c r="H101" i="41" s="1"/>
  <c r="E61" i="36"/>
  <c r="E57" i="36"/>
  <c r="G61" i="36"/>
  <c r="E161" i="41" s="1"/>
  <c r="H161" i="41" s="1"/>
  <c r="F61" i="36"/>
  <c r="F57" i="36"/>
  <c r="E52" i="36"/>
  <c r="F52" i="36"/>
  <c r="G52" i="36"/>
  <c r="E79" i="41" s="1"/>
  <c r="H79" i="41" s="1"/>
  <c r="F48" i="36"/>
  <c r="G48" i="36"/>
  <c r="E28" i="29" s="1"/>
  <c r="E48" i="36"/>
  <c r="D3" i="31"/>
  <c r="D2" i="31"/>
  <c r="D3" i="28"/>
  <c r="D2" i="28"/>
  <c r="E3" i="25"/>
  <c r="E2" i="25"/>
  <c r="D3" i="41"/>
  <c r="D2" i="41"/>
  <c r="D3" i="34"/>
  <c r="D2" i="34"/>
  <c r="D3" i="29"/>
  <c r="D2" i="29"/>
  <c r="D3" i="21"/>
  <c r="D2" i="21"/>
  <c r="D3" i="20"/>
  <c r="D2" i="20"/>
  <c r="D3" i="23"/>
  <c r="D2" i="23"/>
  <c r="D3" i="39"/>
  <c r="D2" i="39"/>
  <c r="D3" i="17"/>
  <c r="D2" i="17"/>
  <c r="D3" i="15"/>
  <c r="D2" i="15"/>
  <c r="D3" i="13"/>
  <c r="D2" i="13"/>
  <c r="D3" i="12"/>
  <c r="D2" i="12"/>
  <c r="D3" i="42"/>
  <c r="D2" i="42"/>
  <c r="D3" i="14"/>
  <c r="D2" i="14"/>
  <c r="D3" i="9"/>
  <c r="D2" i="9"/>
  <c r="D3" i="36"/>
  <c r="D2" i="36"/>
  <c r="D3" i="7"/>
  <c r="D2" i="7"/>
  <c r="D3" i="3"/>
  <c r="D2" i="3"/>
  <c r="D3" i="1"/>
  <c r="D2" i="1"/>
  <c r="D3" i="37"/>
  <c r="D2" i="37"/>
  <c r="G31" i="15"/>
  <c r="F174" i="41" s="1"/>
  <c r="I31" i="15"/>
  <c r="F175" i="41" s="1"/>
  <c r="J31" i="15"/>
  <c r="F176" i="41" s="1"/>
  <c r="L31" i="15"/>
  <c r="F177" i="41" s="1"/>
  <c r="G171" i="41"/>
  <c r="I25" i="17"/>
  <c r="I34" i="17"/>
  <c r="I49" i="17"/>
  <c r="I58" i="17"/>
  <c r="G178" i="41"/>
  <c r="F181" i="41"/>
  <c r="F54" i="9"/>
  <c r="F57" i="9"/>
  <c r="F60" i="9"/>
  <c r="G54" i="9"/>
  <c r="G57" i="9"/>
  <c r="G60" i="9"/>
  <c r="F66" i="9"/>
  <c r="F65" i="9" s="1"/>
  <c r="G66" i="9"/>
  <c r="G65" i="9" s="1"/>
  <c r="F184" i="41"/>
  <c r="F90" i="9"/>
  <c r="G95" i="12" s="1"/>
  <c r="H94" i="12" s="1"/>
  <c r="G90" i="9"/>
  <c r="H95" i="12" s="1"/>
  <c r="G180" i="41"/>
  <c r="F186" i="41"/>
  <c r="H186" i="41" s="1"/>
  <c r="G44" i="14"/>
  <c r="G57" i="37" s="1"/>
  <c r="F44" i="14"/>
  <c r="F57" i="37" s="1"/>
  <c r="F189" i="41"/>
  <c r="F190" i="41"/>
  <c r="G74" i="14"/>
  <c r="G73" i="14" s="1"/>
  <c r="F74" i="14"/>
  <c r="F73" i="14" s="1"/>
  <c r="G63" i="14"/>
  <c r="G58" i="37" s="1"/>
  <c r="F63" i="14"/>
  <c r="F58" i="37" s="1"/>
  <c r="F193" i="41"/>
  <c r="G187" i="41"/>
  <c r="F195" i="41"/>
  <c r="F194" i="41" s="1"/>
  <c r="G194" i="41"/>
  <c r="F196" i="41"/>
  <c r="G196" i="41"/>
  <c r="H16" i="41"/>
  <c r="E16" i="34" s="1"/>
  <c r="H17" i="41"/>
  <c r="E17" i="34" s="1"/>
  <c r="G16" i="7"/>
  <c r="E19" i="41" s="1"/>
  <c r="E20" i="41"/>
  <c r="H20" i="41" s="1"/>
  <c r="E21" i="41"/>
  <c r="H21" i="41" s="1"/>
  <c r="H23" i="41"/>
  <c r="H24" i="41"/>
  <c r="H25" i="41"/>
  <c r="E27" i="41"/>
  <c r="H27" i="41" s="1"/>
  <c r="H71" i="39"/>
  <c r="F28" i="41" s="1"/>
  <c r="H28" i="41" s="1"/>
  <c r="H29" i="41"/>
  <c r="H30" i="41"/>
  <c r="E32" i="41"/>
  <c r="H32" i="41" s="1"/>
  <c r="G52" i="7"/>
  <c r="E33" i="41" s="1"/>
  <c r="G55" i="7"/>
  <c r="E25" i="29" s="1"/>
  <c r="E35" i="41"/>
  <c r="H35" i="41" s="1"/>
  <c r="E36" i="41"/>
  <c r="H36" i="41" s="1"/>
  <c r="H37" i="41"/>
  <c r="H38" i="41"/>
  <c r="K31" i="15"/>
  <c r="F42" i="41" s="1"/>
  <c r="H42" i="41" s="1"/>
  <c r="H43" i="41"/>
  <c r="H44" i="41"/>
  <c r="I32" i="39"/>
  <c r="F46" i="41" s="1"/>
  <c r="F39" i="42"/>
  <c r="F43" i="42"/>
  <c r="F49" i="42"/>
  <c r="H48" i="41"/>
  <c r="H49" i="41"/>
  <c r="H25" i="17"/>
  <c r="F53" i="41" s="1"/>
  <c r="H53" i="41" s="1"/>
  <c r="H34" i="17"/>
  <c r="F54" i="41" s="1"/>
  <c r="H54" i="41" s="1"/>
  <c r="H49" i="17"/>
  <c r="F55" i="41" s="1"/>
  <c r="H55" i="41" s="1"/>
  <c r="H58" i="17"/>
  <c r="F56" i="41" s="1"/>
  <c r="H56" i="41" s="1"/>
  <c r="H57" i="41"/>
  <c r="H58" i="41"/>
  <c r="M43" i="23"/>
  <c r="F60" i="41" s="1"/>
  <c r="H61" i="41"/>
  <c r="H62" i="41"/>
  <c r="M75" i="23"/>
  <c r="F63" i="41" s="1"/>
  <c r="H63" i="41" s="1"/>
  <c r="M107" i="23"/>
  <c r="F64" i="41" s="1"/>
  <c r="H64" i="41" s="1"/>
  <c r="H65" i="41"/>
  <c r="H66" i="41"/>
  <c r="H67" i="41"/>
  <c r="E73" i="41"/>
  <c r="H73" i="41" s="1"/>
  <c r="E74" i="41"/>
  <c r="H74" i="41" s="1"/>
  <c r="E75" i="41"/>
  <c r="H75" i="41" s="1"/>
  <c r="E76" i="41"/>
  <c r="H76" i="41" s="1"/>
  <c r="E77" i="41"/>
  <c r="H77" i="41" s="1"/>
  <c r="E80" i="41"/>
  <c r="H80" i="41" s="1"/>
  <c r="G63" i="7"/>
  <c r="E81" i="41" s="1"/>
  <c r="H81" i="41" s="1"/>
  <c r="G30" i="7"/>
  <c r="E89" i="41" s="1"/>
  <c r="H90" i="41"/>
  <c r="H91" i="41"/>
  <c r="H92" i="41"/>
  <c r="G22" i="7"/>
  <c r="E94" i="41" s="1"/>
  <c r="E95" i="41"/>
  <c r="H95" i="41" s="1"/>
  <c r="E96" i="41"/>
  <c r="H96" i="41" s="1"/>
  <c r="E97" i="41"/>
  <c r="H97" i="41" s="1"/>
  <c r="E98" i="41"/>
  <c r="H98" i="41" s="1"/>
  <c r="E99" i="41"/>
  <c r="H99" i="41" s="1"/>
  <c r="E100" i="41"/>
  <c r="H100" i="41" s="1"/>
  <c r="G87" i="36"/>
  <c r="E44" i="29" s="1"/>
  <c r="H103" i="41"/>
  <c r="H104" i="41"/>
  <c r="H105" i="41"/>
  <c r="E107" i="41"/>
  <c r="E108" i="41"/>
  <c r="H108" i="41" s="1"/>
  <c r="E109" i="41"/>
  <c r="H109" i="41" s="1"/>
  <c r="H110" i="41"/>
  <c r="H111" i="41"/>
  <c r="H114" i="41"/>
  <c r="H115" i="41"/>
  <c r="F31" i="15"/>
  <c r="H31" i="15"/>
  <c r="F120" i="41" s="1"/>
  <c r="H120" i="41" s="1"/>
  <c r="H121" i="41"/>
  <c r="H122" i="41"/>
  <c r="G39" i="42"/>
  <c r="G43" i="42"/>
  <c r="G49" i="42"/>
  <c r="H125" i="41"/>
  <c r="H126" i="41"/>
  <c r="G25" i="17"/>
  <c r="F130" i="41" s="1"/>
  <c r="G34" i="17"/>
  <c r="F131" i="41" s="1"/>
  <c r="H131" i="41" s="1"/>
  <c r="G49" i="17"/>
  <c r="F132" i="41" s="1"/>
  <c r="H132" i="41" s="1"/>
  <c r="G58" i="17"/>
  <c r="F133" i="41" s="1"/>
  <c r="H133" i="41" s="1"/>
  <c r="H134" i="41"/>
  <c r="H135" i="41"/>
  <c r="N43" i="23"/>
  <c r="F137" i="41" s="1"/>
  <c r="H137" i="41" s="1"/>
  <c r="H138" i="41"/>
  <c r="H139" i="41"/>
  <c r="N75" i="23"/>
  <c r="F140" i="41" s="1"/>
  <c r="N107" i="23"/>
  <c r="F141" i="41" s="1"/>
  <c r="H141" i="41" s="1"/>
  <c r="H142" i="41"/>
  <c r="H143" i="41"/>
  <c r="H144" i="41"/>
  <c r="E153" i="41"/>
  <c r="H153" i="41" s="1"/>
  <c r="E154" i="41"/>
  <c r="H154" i="41" s="1"/>
  <c r="E155" i="41"/>
  <c r="H155" i="41" s="1"/>
  <c r="E156" i="41"/>
  <c r="H156" i="41" s="1"/>
  <c r="E157" i="41"/>
  <c r="H157" i="41" s="1"/>
  <c r="E158" i="41"/>
  <c r="H158" i="41" s="1"/>
  <c r="E159" i="41"/>
  <c r="H159" i="41" s="1"/>
  <c r="E160" i="41"/>
  <c r="H160" i="41" s="1"/>
  <c r="E162" i="41"/>
  <c r="H162" i="41" s="1"/>
  <c r="E163" i="41"/>
  <c r="H163" i="41" s="1"/>
  <c r="G67" i="7"/>
  <c r="E164" i="41" s="1"/>
  <c r="H164" i="41" s="1"/>
  <c r="Q81" i="23"/>
  <c r="P81" i="23"/>
  <c r="O81" i="23"/>
  <c r="N81" i="23"/>
  <c r="M81" i="23"/>
  <c r="L81" i="23"/>
  <c r="Q49" i="23"/>
  <c r="P49" i="23"/>
  <c r="O49" i="23"/>
  <c r="N49" i="23"/>
  <c r="M49" i="23"/>
  <c r="L49" i="23"/>
  <c r="E52" i="41"/>
  <c r="E59" i="41"/>
  <c r="E41" i="41"/>
  <c r="E45" i="41"/>
  <c r="E118" i="41"/>
  <c r="E123" i="41"/>
  <c r="E129" i="41"/>
  <c r="E136" i="41"/>
  <c r="H32" i="39"/>
  <c r="H35" i="39" s="1"/>
  <c r="K19" i="39" s="1"/>
  <c r="N14" i="21"/>
  <c r="M14" i="21"/>
  <c r="L14" i="21"/>
  <c r="K14" i="21"/>
  <c r="J14" i="21"/>
  <c r="I14" i="21"/>
  <c r="H14" i="21"/>
  <c r="G14" i="21"/>
  <c r="F14" i="21"/>
  <c r="E14" i="21"/>
  <c r="E33" i="42"/>
  <c r="L33" i="42" s="1"/>
  <c r="E55" i="42" s="1"/>
  <c r="L55" i="42" s="1"/>
  <c r="G30" i="37" s="1"/>
  <c r="E32" i="42"/>
  <c r="L32" i="42" s="1"/>
  <c r="E31" i="42"/>
  <c r="L31" i="42" s="1"/>
  <c r="E53" i="42" s="1"/>
  <c r="L53" i="42" s="1"/>
  <c r="G28" i="37" s="1"/>
  <c r="E30" i="42"/>
  <c r="L30" i="42" s="1"/>
  <c r="E28" i="42"/>
  <c r="L28" i="42" s="1"/>
  <c r="E29" i="42"/>
  <c r="L29" i="42" s="1"/>
  <c r="E51" i="42" s="1"/>
  <c r="L51" i="42" s="1"/>
  <c r="G28" i="14"/>
  <c r="E26" i="42"/>
  <c r="L26" i="42" s="1"/>
  <c r="E23" i="42"/>
  <c r="L23" i="42" s="1"/>
  <c r="E22" i="42"/>
  <c r="L22" i="42" s="1"/>
  <c r="E44" i="42" s="1"/>
  <c r="L44" i="42" s="1"/>
  <c r="E24" i="42"/>
  <c r="L24" i="42" s="1"/>
  <c r="E46" i="42" s="1"/>
  <c r="L46" i="42" s="1"/>
  <c r="E25" i="42"/>
  <c r="L25" i="42" s="1"/>
  <c r="E47" i="42" s="1"/>
  <c r="L47" i="42" s="1"/>
  <c r="G22" i="14"/>
  <c r="E20" i="42"/>
  <c r="L20" i="42" s="1"/>
  <c r="E18" i="42"/>
  <c r="L18" i="42" s="1"/>
  <c r="E19" i="42"/>
  <c r="L19" i="42" s="1"/>
  <c r="E41" i="42" s="1"/>
  <c r="L41" i="42" s="1"/>
  <c r="G18" i="14"/>
  <c r="F28" i="14"/>
  <c r="F22" i="14"/>
  <c r="F18" i="14"/>
  <c r="G71" i="39"/>
  <c r="F31" i="37" s="1"/>
  <c r="K31" i="37" s="1"/>
  <c r="C35" i="42"/>
  <c r="C13" i="42"/>
  <c r="L36" i="42"/>
  <c r="L14" i="42"/>
  <c r="E36" i="42" s="1"/>
  <c r="E35" i="42"/>
  <c r="K49" i="42"/>
  <c r="J49" i="42"/>
  <c r="H49" i="42"/>
  <c r="K43" i="42"/>
  <c r="J43" i="42"/>
  <c r="I43" i="42"/>
  <c r="H43" i="42"/>
  <c r="K39" i="42"/>
  <c r="J39" i="42"/>
  <c r="I39" i="42"/>
  <c r="H39" i="42"/>
  <c r="J17" i="42"/>
  <c r="J21" i="42"/>
  <c r="J27" i="42"/>
  <c r="K27" i="42"/>
  <c r="H27" i="42"/>
  <c r="G27" i="42"/>
  <c r="F27" i="42"/>
  <c r="K21" i="42"/>
  <c r="I21" i="42"/>
  <c r="H21" i="42"/>
  <c r="G21" i="42"/>
  <c r="F21" i="42"/>
  <c r="F17" i="42"/>
  <c r="K17" i="42"/>
  <c r="I17" i="42"/>
  <c r="H17" i="42"/>
  <c r="G17" i="42"/>
  <c r="G75" i="9"/>
  <c r="G82" i="9"/>
  <c r="G17" i="9"/>
  <c r="G26" i="9"/>
  <c r="G33" i="9"/>
  <c r="G40" i="9"/>
  <c r="G30" i="9"/>
  <c r="G35" i="14"/>
  <c r="G49" i="14"/>
  <c r="G66" i="14"/>
  <c r="F75" i="9"/>
  <c r="F82" i="9"/>
  <c r="F17" i="9"/>
  <c r="F26" i="9"/>
  <c r="F30" i="9"/>
  <c r="F33" i="9"/>
  <c r="F40" i="9"/>
  <c r="F35" i="14"/>
  <c r="F49" i="14"/>
  <c r="F66" i="14"/>
  <c r="E18" i="14"/>
  <c r="E22" i="14"/>
  <c r="E28" i="14"/>
  <c r="E35" i="14"/>
  <c r="E44" i="14"/>
  <c r="E49" i="14"/>
  <c r="E63" i="14"/>
  <c r="E66" i="14"/>
  <c r="E74" i="14"/>
  <c r="E73" i="14" s="1"/>
  <c r="E54" i="9"/>
  <c r="E57" i="9"/>
  <c r="E60" i="9"/>
  <c r="E66" i="9"/>
  <c r="E65" i="9" s="1"/>
  <c r="E90" i="9"/>
  <c r="F95" i="12" s="1"/>
  <c r="G94" i="12" s="1"/>
  <c r="E75" i="9"/>
  <c r="E82" i="9"/>
  <c r="E17" i="9"/>
  <c r="E26" i="9"/>
  <c r="E30" i="9"/>
  <c r="E33" i="9"/>
  <c r="E40" i="9"/>
  <c r="E14" i="42"/>
  <c r="D9" i="42"/>
  <c r="P6" i="42"/>
  <c r="Q82" i="23"/>
  <c r="Q83" i="23"/>
  <c r="Q84" i="23"/>
  <c r="Q85" i="23"/>
  <c r="Q86" i="23"/>
  <c r="Q87" i="23"/>
  <c r="Q88" i="23"/>
  <c r="Q89" i="23"/>
  <c r="Q90" i="23"/>
  <c r="Q91" i="23"/>
  <c r="Q92" i="23"/>
  <c r="Q93" i="23"/>
  <c r="Q94" i="23"/>
  <c r="Q95" i="23"/>
  <c r="Q96" i="23"/>
  <c r="Q97" i="23"/>
  <c r="Q98" i="23"/>
  <c r="Q99" i="23"/>
  <c r="Q100" i="23"/>
  <c r="Q101" i="23"/>
  <c r="Q102" i="23"/>
  <c r="Q103" i="23"/>
  <c r="Q104" i="23"/>
  <c r="Q105" i="23"/>
  <c r="Q106" i="23"/>
  <c r="R107" i="23"/>
  <c r="G53" i="37" s="1"/>
  <c r="S107" i="23"/>
  <c r="G52" i="37"/>
  <c r="Q50" i="23"/>
  <c r="Q51" i="23"/>
  <c r="Q52" i="23"/>
  <c r="Q53" i="23"/>
  <c r="Q54" i="23"/>
  <c r="Q55" i="23"/>
  <c r="Q56" i="23"/>
  <c r="Q57" i="23"/>
  <c r="Q58" i="23"/>
  <c r="Q59" i="23"/>
  <c r="Q60" i="23"/>
  <c r="Q61" i="23"/>
  <c r="Q62" i="23"/>
  <c r="Q63" i="23"/>
  <c r="Q64" i="23"/>
  <c r="Q65" i="23"/>
  <c r="Q66" i="23"/>
  <c r="Q67" i="23"/>
  <c r="Q68" i="23"/>
  <c r="Q69" i="23"/>
  <c r="Q70" i="23"/>
  <c r="Q71" i="23"/>
  <c r="Q72" i="23"/>
  <c r="Q73" i="23"/>
  <c r="Q74" i="23"/>
  <c r="R75" i="23"/>
  <c r="G51" i="37" s="1"/>
  <c r="Q18" i="23"/>
  <c r="Q19" i="23"/>
  <c r="Q20" i="23"/>
  <c r="Q21" i="23"/>
  <c r="Q22" i="23"/>
  <c r="Q23" i="23"/>
  <c r="Q24" i="23"/>
  <c r="Q25" i="23"/>
  <c r="Q26" i="23"/>
  <c r="Q27" i="23"/>
  <c r="Q28" i="23"/>
  <c r="Q29" i="23"/>
  <c r="Q30" i="23"/>
  <c r="Q31" i="23"/>
  <c r="Q32" i="23"/>
  <c r="Q33" i="23"/>
  <c r="Q34" i="23"/>
  <c r="Q35" i="23"/>
  <c r="Q36" i="23"/>
  <c r="Q37" i="23"/>
  <c r="Q38" i="23"/>
  <c r="Q39" i="23"/>
  <c r="Q40" i="23"/>
  <c r="Q41" i="23"/>
  <c r="Q42" i="23"/>
  <c r="R43" i="23"/>
  <c r="G49" i="37" s="1"/>
  <c r="S43" i="23"/>
  <c r="G48" i="37" s="1"/>
  <c r="L48" i="37" s="1"/>
  <c r="G59" i="7"/>
  <c r="G70" i="7"/>
  <c r="F52" i="7"/>
  <c r="F55" i="7"/>
  <c r="F59" i="7"/>
  <c r="F63" i="7"/>
  <c r="F67" i="7"/>
  <c r="F70" i="7"/>
  <c r="E52" i="7"/>
  <c r="E55" i="7"/>
  <c r="E59" i="7"/>
  <c r="E67" i="7"/>
  <c r="E63" i="7"/>
  <c r="E70" i="7"/>
  <c r="H55" i="39"/>
  <c r="G46" i="37" s="1"/>
  <c r="L46" i="37" s="1"/>
  <c r="D9" i="41"/>
  <c r="H6" i="41"/>
  <c r="K107" i="23"/>
  <c r="P43" i="23"/>
  <c r="O43" i="23"/>
  <c r="L43" i="23"/>
  <c r="K43" i="23"/>
  <c r="J32" i="39"/>
  <c r="K32" i="39"/>
  <c r="F32" i="39"/>
  <c r="I34" i="39"/>
  <c r="G45" i="37" s="1"/>
  <c r="F34" i="39"/>
  <c r="F45" i="37" s="1"/>
  <c r="M32" i="39"/>
  <c r="E30" i="29" s="1"/>
  <c r="L32" i="39"/>
  <c r="J16" i="39"/>
  <c r="G16" i="39"/>
  <c r="C12" i="12"/>
  <c r="G27" i="7"/>
  <c r="G34" i="7"/>
  <c r="G43" i="7"/>
  <c r="H17" i="12"/>
  <c r="H29" i="12"/>
  <c r="H36" i="12"/>
  <c r="H45" i="12"/>
  <c r="H54" i="12"/>
  <c r="H66" i="12"/>
  <c r="H73" i="12"/>
  <c r="H79" i="12"/>
  <c r="H85" i="12"/>
  <c r="F16" i="7"/>
  <c r="F22" i="7"/>
  <c r="F27" i="7"/>
  <c r="F30" i="7"/>
  <c r="F34" i="7"/>
  <c r="F43" i="7"/>
  <c r="G17" i="12"/>
  <c r="G29" i="12"/>
  <c r="G36" i="12"/>
  <c r="G45" i="12"/>
  <c r="G54" i="12"/>
  <c r="G66" i="12"/>
  <c r="G73" i="12"/>
  <c r="G79" i="12"/>
  <c r="G85" i="12"/>
  <c r="E16" i="7"/>
  <c r="E22" i="7"/>
  <c r="E27" i="7"/>
  <c r="E30" i="7"/>
  <c r="E34" i="7"/>
  <c r="E43" i="7"/>
  <c r="F17" i="12"/>
  <c r="F29" i="12"/>
  <c r="F36" i="12"/>
  <c r="F45" i="12"/>
  <c r="F54" i="12"/>
  <c r="F66" i="12"/>
  <c r="F73" i="12"/>
  <c r="F79" i="12"/>
  <c r="F85" i="12"/>
  <c r="H85" i="39"/>
  <c r="F88" i="41"/>
  <c r="F93" i="41"/>
  <c r="F106" i="41"/>
  <c r="F112" i="41"/>
  <c r="F152" i="41"/>
  <c r="F18" i="41"/>
  <c r="F31" i="41"/>
  <c r="F72" i="41"/>
  <c r="E170" i="41"/>
  <c r="G52" i="41"/>
  <c r="G59" i="41"/>
  <c r="G41" i="41"/>
  <c r="G45" i="41"/>
  <c r="G18" i="41"/>
  <c r="G26" i="41"/>
  <c r="G31" i="41"/>
  <c r="G72" i="41"/>
  <c r="G88" i="41"/>
  <c r="G93" i="41"/>
  <c r="G106" i="41"/>
  <c r="G112" i="41"/>
  <c r="G118" i="41"/>
  <c r="G123" i="41"/>
  <c r="G129" i="41"/>
  <c r="G136" i="41"/>
  <c r="G152" i="41"/>
  <c r="P107" i="23"/>
  <c r="O107" i="23"/>
  <c r="L107" i="23"/>
  <c r="P75" i="23"/>
  <c r="O75" i="23"/>
  <c r="L75" i="23"/>
  <c r="K75" i="23"/>
  <c r="F19" i="39"/>
  <c r="I17" i="39"/>
  <c r="F17" i="39"/>
  <c r="K100" i="39"/>
  <c r="G100" i="39"/>
  <c r="G85" i="39"/>
  <c r="H74" i="39"/>
  <c r="G74" i="39"/>
  <c r="J71" i="39"/>
  <c r="I71" i="39"/>
  <c r="J60" i="39"/>
  <c r="I60" i="39"/>
  <c r="H60" i="39"/>
  <c r="G60" i="39"/>
  <c r="J55" i="39"/>
  <c r="E24" i="29" s="1"/>
  <c r="I55" i="39"/>
  <c r="J39" i="39"/>
  <c r="I39" i="39"/>
  <c r="M17" i="39"/>
  <c r="L17" i="39"/>
  <c r="D9" i="39"/>
  <c r="P6" i="39"/>
  <c r="J39" i="25"/>
  <c r="J40" i="25"/>
  <c r="J41" i="25"/>
  <c r="J42" i="25"/>
  <c r="J43" i="25"/>
  <c r="J44" i="25"/>
  <c r="F53" i="25"/>
  <c r="J51" i="17"/>
  <c r="J52" i="17"/>
  <c r="J53" i="17"/>
  <c r="J54" i="17"/>
  <c r="J55" i="17"/>
  <c r="J56" i="17"/>
  <c r="J57" i="17"/>
  <c r="J27" i="17"/>
  <c r="J28" i="17"/>
  <c r="J29" i="17"/>
  <c r="J30" i="17"/>
  <c r="J31" i="17"/>
  <c r="J32" i="17"/>
  <c r="J33" i="17"/>
  <c r="J42" i="17"/>
  <c r="J43" i="17"/>
  <c r="J44" i="17"/>
  <c r="J45" i="17"/>
  <c r="J46" i="17"/>
  <c r="J47" i="17"/>
  <c r="J48" i="17"/>
  <c r="J18" i="17"/>
  <c r="J19" i="17"/>
  <c r="J20" i="17"/>
  <c r="J21" i="17"/>
  <c r="J22" i="17"/>
  <c r="J23" i="17"/>
  <c r="J24" i="17"/>
  <c r="M18" i="15"/>
  <c r="E29" i="15" s="1"/>
  <c r="M29" i="15" s="1"/>
  <c r="M19" i="15"/>
  <c r="E30" i="15" s="1"/>
  <c r="O31" i="3"/>
  <c r="Q17" i="23"/>
  <c r="P17" i="23"/>
  <c r="O17" i="23"/>
  <c r="N17" i="23"/>
  <c r="M17" i="23"/>
  <c r="L17" i="23"/>
  <c r="I46" i="13"/>
  <c r="G38" i="37" s="1"/>
  <c r="G53" i="13"/>
  <c r="G51" i="13"/>
  <c r="F49" i="13"/>
  <c r="G86" i="36"/>
  <c r="I31" i="3"/>
  <c r="I15" i="3"/>
  <c r="O15" i="3"/>
  <c r="I15" i="20"/>
  <c r="K46" i="13"/>
  <c r="G46" i="13"/>
  <c r="H46" i="13"/>
  <c r="J46" i="13"/>
  <c r="L46" i="13"/>
  <c r="M46" i="13"/>
  <c r="K32" i="36"/>
  <c r="K36" i="36"/>
  <c r="F19" i="20"/>
  <c r="K48" i="37"/>
  <c r="G37" i="37"/>
  <c r="L37" i="37" s="1"/>
  <c r="I20" i="15"/>
  <c r="F37" i="37" s="1"/>
  <c r="K37" i="37" s="1"/>
  <c r="M22" i="15"/>
  <c r="E33" i="15" s="1"/>
  <c r="M33" i="15" s="1"/>
  <c r="M17" i="15"/>
  <c r="E28" i="15" s="1"/>
  <c r="M28" i="15" s="1"/>
  <c r="M16" i="15"/>
  <c r="E27" i="15" s="1"/>
  <c r="M27" i="15" s="1"/>
  <c r="M15" i="15"/>
  <c r="E26" i="15" s="1"/>
  <c r="M26" i="15" s="1"/>
  <c r="G33" i="37" s="1"/>
  <c r="L33" i="37" s="1"/>
  <c r="G77" i="36"/>
  <c r="G21" i="37" s="1"/>
  <c r="L21" i="37" s="1"/>
  <c r="F77" i="36"/>
  <c r="F21" i="37" s="1"/>
  <c r="K21" i="37" s="1"/>
  <c r="E77" i="36"/>
  <c r="E21" i="37" s="1"/>
  <c r="J21" i="37" s="1"/>
  <c r="G73" i="36"/>
  <c r="G20" i="37" s="1"/>
  <c r="L20" i="37" s="1"/>
  <c r="E73" i="36"/>
  <c r="E20" i="37" s="1"/>
  <c r="J20" i="37" s="1"/>
  <c r="F73" i="36"/>
  <c r="F20" i="37" s="1"/>
  <c r="K20" i="37" s="1"/>
  <c r="K16" i="36"/>
  <c r="K20" i="36"/>
  <c r="K25" i="36"/>
  <c r="K40" i="36"/>
  <c r="E21" i="31" s="1"/>
  <c r="E16" i="36"/>
  <c r="E20" i="36"/>
  <c r="E42" i="36" s="1"/>
  <c r="E25" i="36"/>
  <c r="E32" i="36"/>
  <c r="E36" i="36"/>
  <c r="E40" i="36"/>
  <c r="H16" i="36"/>
  <c r="H20" i="36"/>
  <c r="H25" i="36"/>
  <c r="H32" i="36"/>
  <c r="H36" i="36"/>
  <c r="H40" i="36"/>
  <c r="L16" i="36"/>
  <c r="L20" i="36"/>
  <c r="L25" i="36"/>
  <c r="L32" i="36"/>
  <c r="L36" i="36"/>
  <c r="L40" i="36"/>
  <c r="I16" i="36"/>
  <c r="I20" i="36"/>
  <c r="I25" i="36"/>
  <c r="I32" i="36"/>
  <c r="I36" i="36"/>
  <c r="I40" i="36"/>
  <c r="F16" i="36"/>
  <c r="F20" i="36"/>
  <c r="F25" i="36"/>
  <c r="F32" i="36"/>
  <c r="F36" i="36"/>
  <c r="F40" i="36"/>
  <c r="E41" i="29"/>
  <c r="E38" i="29"/>
  <c r="E21" i="29"/>
  <c r="E22" i="29"/>
  <c r="E23" i="29"/>
  <c r="E26" i="29"/>
  <c r="E28" i="31"/>
  <c r="G72" i="36"/>
  <c r="F72" i="36"/>
  <c r="E72" i="36"/>
  <c r="F46" i="13"/>
  <c r="E46" i="13"/>
  <c r="E14" i="37"/>
  <c r="F14" i="37"/>
  <c r="G14" i="37"/>
  <c r="D9" i="37"/>
  <c r="G6" i="37"/>
  <c r="G67" i="36"/>
  <c r="F67" i="36"/>
  <c r="E67" i="36"/>
  <c r="G46" i="36"/>
  <c r="F46" i="36"/>
  <c r="E46" i="36"/>
  <c r="M14" i="36"/>
  <c r="J14" i="36"/>
  <c r="G14" i="36"/>
  <c r="D9" i="36"/>
  <c r="M6" i="36"/>
  <c r="D9" i="34"/>
  <c r="E6" i="34"/>
  <c r="D9" i="31"/>
  <c r="F6" i="31"/>
  <c r="E18" i="29"/>
  <c r="D9" i="29"/>
  <c r="G6" i="29"/>
  <c r="F33" i="28"/>
  <c r="E33" i="28"/>
  <c r="F16" i="28"/>
  <c r="D9" i="28"/>
  <c r="G6" i="28"/>
  <c r="H69" i="27"/>
  <c r="E69" i="27"/>
  <c r="H56" i="27"/>
  <c r="E56" i="27"/>
  <c r="G68" i="27"/>
  <c r="G67" i="27"/>
  <c r="G66" i="27"/>
  <c r="G65" i="27"/>
  <c r="G64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D9" i="27"/>
  <c r="H6" i="27"/>
  <c r="E45" i="25"/>
  <c r="F30" i="25" s="1"/>
  <c r="I45" i="25"/>
  <c r="H45" i="25"/>
  <c r="G45" i="25"/>
  <c r="F45" i="25"/>
  <c r="C28" i="25"/>
  <c r="E9" i="25"/>
  <c r="J6" i="25"/>
  <c r="D9" i="23"/>
  <c r="S6" i="23"/>
  <c r="N20" i="21"/>
  <c r="M20" i="21"/>
  <c r="L20" i="21"/>
  <c r="K20" i="21"/>
  <c r="J20" i="21"/>
  <c r="I20" i="21"/>
  <c r="H20" i="21"/>
  <c r="G20" i="21"/>
  <c r="F20" i="21"/>
  <c r="E20" i="21"/>
  <c r="D9" i="21"/>
  <c r="N6" i="21"/>
  <c r="I30" i="20"/>
  <c r="H30" i="20"/>
  <c r="G30" i="20"/>
  <c r="I26" i="20"/>
  <c r="H26" i="20"/>
  <c r="G26" i="20"/>
  <c r="I19" i="20"/>
  <c r="H19" i="20"/>
  <c r="G19" i="20"/>
  <c r="F30" i="20"/>
  <c r="F26" i="20"/>
  <c r="H15" i="20"/>
  <c r="G15" i="20"/>
  <c r="F15" i="20"/>
  <c r="D9" i="20"/>
  <c r="I6" i="20"/>
  <c r="L58" i="17"/>
  <c r="F58" i="17"/>
  <c r="L49" i="17"/>
  <c r="F49" i="17"/>
  <c r="L40" i="17"/>
  <c r="J40" i="17"/>
  <c r="F40" i="17"/>
  <c r="L34" i="17"/>
  <c r="F34" i="17"/>
  <c r="L25" i="17"/>
  <c r="F25" i="17"/>
  <c r="L16" i="17"/>
  <c r="J16" i="17"/>
  <c r="F16" i="17"/>
  <c r="D9" i="17"/>
  <c r="M6" i="17"/>
  <c r="L20" i="15"/>
  <c r="K20" i="15"/>
  <c r="J20" i="15"/>
  <c r="H20" i="15"/>
  <c r="G20" i="15"/>
  <c r="F20" i="15"/>
  <c r="E20" i="15"/>
  <c r="M25" i="15"/>
  <c r="E25" i="15"/>
  <c r="D25" i="15"/>
  <c r="D14" i="15"/>
  <c r="M14" i="15"/>
  <c r="E14" i="15"/>
  <c r="D9" i="15"/>
  <c r="O6" i="15"/>
  <c r="G14" i="14"/>
  <c r="F14" i="14"/>
  <c r="E14" i="14"/>
  <c r="D9" i="14"/>
  <c r="G6" i="14"/>
  <c r="R46" i="13"/>
  <c r="Q46" i="13"/>
  <c r="P46" i="13"/>
  <c r="O46" i="13"/>
  <c r="N46" i="13"/>
  <c r="Q13" i="13"/>
  <c r="Q15" i="13"/>
  <c r="P15" i="13"/>
  <c r="O15" i="13"/>
  <c r="N15" i="13"/>
  <c r="L15" i="13"/>
  <c r="K15" i="13"/>
  <c r="J15" i="13"/>
  <c r="I15" i="13"/>
  <c r="H15" i="13"/>
  <c r="D9" i="13"/>
  <c r="R6" i="13"/>
  <c r="H14" i="12"/>
  <c r="G14" i="12"/>
  <c r="F14" i="12"/>
  <c r="D9" i="12"/>
  <c r="H6" i="12"/>
  <c r="G14" i="9"/>
  <c r="F14" i="9"/>
  <c r="E14" i="9"/>
  <c r="D9" i="9"/>
  <c r="G6" i="9"/>
  <c r="G14" i="7"/>
  <c r="F14" i="7"/>
  <c r="E14" i="7"/>
  <c r="D9" i="7"/>
  <c r="G6" i="7"/>
  <c r="P6" i="3"/>
  <c r="D9" i="3"/>
  <c r="H6" i="1"/>
  <c r="D9" i="1"/>
  <c r="M6" i="4"/>
  <c r="H15" i="1"/>
  <c r="H13" i="1" s="1"/>
  <c r="S75" i="23"/>
  <c r="G50" i="37" s="1"/>
  <c r="F17" i="37"/>
  <c r="K17" i="37" s="1"/>
  <c r="E17" i="37"/>
  <c r="J17" i="37" s="1"/>
  <c r="I27" i="42"/>
  <c r="I49" i="42"/>
  <c r="F31" i="36" l="1"/>
  <c r="J49" i="17"/>
  <c r="G41" i="37" s="1"/>
  <c r="F19" i="36"/>
  <c r="F43" i="36" s="1"/>
  <c r="I31" i="36"/>
  <c r="I30" i="36" s="1"/>
  <c r="H31" i="36"/>
  <c r="G31" i="37"/>
  <c r="L31" i="37" s="1"/>
  <c r="F30" i="36"/>
  <c r="K19" i="36"/>
  <c r="E17" i="31" s="1"/>
  <c r="F63" i="12"/>
  <c r="G63" i="12"/>
  <c r="H63" i="12"/>
  <c r="F51" i="7"/>
  <c r="F74" i="7" s="1"/>
  <c r="E43" i="14"/>
  <c r="F33" i="37"/>
  <c r="K33" i="37" s="1"/>
  <c r="G43" i="14"/>
  <c r="J38" i="42"/>
  <c r="E127" i="41"/>
  <c r="E106" i="41"/>
  <c r="I16" i="42"/>
  <c r="L31" i="36"/>
  <c r="L30" i="36" s="1"/>
  <c r="G32" i="37"/>
  <c r="L32" i="37" s="1"/>
  <c r="M32" i="37" s="1"/>
  <c r="F72" i="12"/>
  <c r="F88" i="12" s="1"/>
  <c r="H72" i="12"/>
  <c r="H88" i="12" s="1"/>
  <c r="G16" i="42"/>
  <c r="J16" i="42"/>
  <c r="I38" i="42"/>
  <c r="H19" i="36"/>
  <c r="E31" i="36"/>
  <c r="E30" i="36" s="1"/>
  <c r="M48" i="37"/>
  <c r="E51" i="7"/>
  <c r="E74" i="7" s="1"/>
  <c r="H16" i="42"/>
  <c r="K16" i="42"/>
  <c r="F38" i="42"/>
  <c r="F47" i="41" s="1"/>
  <c r="H47" i="41" s="1"/>
  <c r="E54" i="42"/>
  <c r="L54" i="42" s="1"/>
  <c r="G29" i="37" s="1"/>
  <c r="F29" i="37"/>
  <c r="F25" i="37"/>
  <c r="E48" i="42"/>
  <c r="L48" i="42" s="1"/>
  <c r="G25" i="37" s="1"/>
  <c r="F27" i="37"/>
  <c r="E52" i="42"/>
  <c r="L52" i="42" s="1"/>
  <c r="G27" i="37" s="1"/>
  <c r="L19" i="36"/>
  <c r="G34" i="37"/>
  <c r="L34" i="37" s="1"/>
  <c r="G72" i="12"/>
  <c r="F49" i="7"/>
  <c r="G51" i="7"/>
  <c r="G74" i="7" s="1"/>
  <c r="Q43" i="23"/>
  <c r="G54" i="37" s="1"/>
  <c r="L54" i="37" s="1"/>
  <c r="M54" i="37" s="1"/>
  <c r="E17" i="42"/>
  <c r="H38" i="42"/>
  <c r="E22" i="41"/>
  <c r="H22" i="41" s="1"/>
  <c r="E72" i="41"/>
  <c r="E33" i="29"/>
  <c r="J34" i="17"/>
  <c r="G40" i="37" s="1"/>
  <c r="E52" i="9"/>
  <c r="E50" i="9" s="1"/>
  <c r="E17" i="14"/>
  <c r="E16" i="14" s="1"/>
  <c r="F43" i="14"/>
  <c r="F30" i="37"/>
  <c r="E21" i="42"/>
  <c r="E40" i="29"/>
  <c r="E113" i="41"/>
  <c r="F47" i="36"/>
  <c r="G47" i="36"/>
  <c r="F35" i="37"/>
  <c r="K35" i="37" s="1"/>
  <c r="E34" i="29"/>
  <c r="K31" i="36"/>
  <c r="E18" i="31" s="1"/>
  <c r="J25" i="17"/>
  <c r="G39" i="37" s="1"/>
  <c r="Q107" i="23"/>
  <c r="G56" i="37" s="1"/>
  <c r="E16" i="9"/>
  <c r="F16" i="42"/>
  <c r="K38" i="42"/>
  <c r="G38" i="42"/>
  <c r="F124" i="41" s="1"/>
  <c r="H124" i="41" s="1"/>
  <c r="H123" i="41" s="1"/>
  <c r="E46" i="34" s="1"/>
  <c r="H107" i="41"/>
  <c r="H106" i="41" s="1"/>
  <c r="E41" i="34" s="1"/>
  <c r="E34" i="41"/>
  <c r="H34" i="41" s="1"/>
  <c r="F179" i="41"/>
  <c r="F178" i="41" s="1"/>
  <c r="H178" i="41" s="1"/>
  <c r="F56" i="36"/>
  <c r="F129" i="41"/>
  <c r="H130" i="41"/>
  <c r="H129" i="41" s="1"/>
  <c r="H19" i="41"/>
  <c r="E40" i="42"/>
  <c r="L17" i="42"/>
  <c r="F22" i="37" s="1"/>
  <c r="F59" i="41"/>
  <c r="H60" i="41"/>
  <c r="H33" i="41"/>
  <c r="G88" i="12"/>
  <c r="F23" i="37"/>
  <c r="E42" i="42"/>
  <c r="L42" i="42" s="1"/>
  <c r="G23" i="37" s="1"/>
  <c r="H30" i="36"/>
  <c r="E68" i="41"/>
  <c r="F52" i="41"/>
  <c r="F119" i="41"/>
  <c r="H119" i="41" s="1"/>
  <c r="H118" i="41" s="1"/>
  <c r="E45" i="34" s="1"/>
  <c r="J45" i="25"/>
  <c r="F31" i="25" s="1"/>
  <c r="G59" i="37" s="1"/>
  <c r="L59" i="37" s="1"/>
  <c r="M59" i="37" s="1"/>
  <c r="E19" i="36"/>
  <c r="E29" i="29"/>
  <c r="E20" i="29" s="1"/>
  <c r="E27" i="42"/>
  <c r="F17" i="14"/>
  <c r="F16" i="14" s="1"/>
  <c r="E102" i="41"/>
  <c r="H102" i="41" s="1"/>
  <c r="G52" i="9"/>
  <c r="G50" i="9" s="1"/>
  <c r="E26" i="41"/>
  <c r="G56" i="36"/>
  <c r="G19" i="37" s="1"/>
  <c r="L19" i="37" s="1"/>
  <c r="E39" i="29"/>
  <c r="M20" i="15"/>
  <c r="F192" i="41"/>
  <c r="G61" i="14"/>
  <c r="I19" i="36"/>
  <c r="J58" i="17"/>
  <c r="G42" i="37" s="1"/>
  <c r="E49" i="7"/>
  <c r="E76" i="7" s="1"/>
  <c r="F16" i="12" s="1"/>
  <c r="F42" i="12" s="1"/>
  <c r="K35" i="39"/>
  <c r="F188" i="41"/>
  <c r="F52" i="9"/>
  <c r="F182" i="41" s="1"/>
  <c r="G17" i="14"/>
  <c r="G16" i="14" s="1"/>
  <c r="F185" i="41"/>
  <c r="F61" i="14"/>
  <c r="Q75" i="23"/>
  <c r="G55" i="37" s="1"/>
  <c r="H140" i="41"/>
  <c r="H136" i="41" s="1"/>
  <c r="E50" i="34" s="1"/>
  <c r="F136" i="41"/>
  <c r="F145" i="41" s="1"/>
  <c r="F34" i="37"/>
  <c r="K34" i="37" s="1"/>
  <c r="F46" i="37"/>
  <c r="K46" i="37" s="1"/>
  <c r="M46" i="37" s="1"/>
  <c r="F26" i="41"/>
  <c r="F39" i="41" s="1"/>
  <c r="G43" i="37"/>
  <c r="H46" i="41"/>
  <c r="F191" i="41"/>
  <c r="E61" i="14"/>
  <c r="F28" i="37"/>
  <c r="L27" i="42"/>
  <c r="F26" i="37" s="1"/>
  <c r="E50" i="42"/>
  <c r="E45" i="42"/>
  <c r="L21" i="42"/>
  <c r="F183" i="41"/>
  <c r="G36" i="37"/>
  <c r="L36" i="37" s="1"/>
  <c r="F36" i="37"/>
  <c r="K36" i="37" s="1"/>
  <c r="G16" i="9"/>
  <c r="F16" i="9"/>
  <c r="G49" i="7"/>
  <c r="E152" i="41"/>
  <c r="H89" i="41"/>
  <c r="H88" i="41" s="1"/>
  <c r="E39" i="34" s="1"/>
  <c r="E88" i="41"/>
  <c r="F171" i="41"/>
  <c r="H171" i="41" s="1"/>
  <c r="F41" i="41"/>
  <c r="E31" i="15"/>
  <c r="M30" i="15"/>
  <c r="H94" i="41"/>
  <c r="H93" i="41" s="1"/>
  <c r="E40" i="34" s="1"/>
  <c r="E93" i="41"/>
  <c r="G68" i="41"/>
  <c r="H59" i="41"/>
  <c r="E28" i="34" s="1"/>
  <c r="E50" i="41"/>
  <c r="G145" i="41"/>
  <c r="G50" i="41"/>
  <c r="H52" i="41"/>
  <c r="H68" i="41" s="1"/>
  <c r="H152" i="41"/>
  <c r="E55" i="34" s="1"/>
  <c r="E23" i="31"/>
  <c r="E56" i="36"/>
  <c r="E47" i="36"/>
  <c r="M33" i="37"/>
  <c r="M21" i="37"/>
  <c r="M31" i="37"/>
  <c r="M37" i="37"/>
  <c r="M20" i="37"/>
  <c r="G127" i="41"/>
  <c r="H72" i="41"/>
  <c r="E33" i="34" s="1"/>
  <c r="H26" i="41"/>
  <c r="E19" i="34" s="1"/>
  <c r="H41" i="41"/>
  <c r="G116" i="41"/>
  <c r="G39" i="41"/>
  <c r="E145" i="41"/>
  <c r="G170" i="41"/>
  <c r="H196" i="41"/>
  <c r="F116" i="41"/>
  <c r="H194" i="41"/>
  <c r="E18" i="41" l="1"/>
  <c r="H43" i="36"/>
  <c r="F18" i="37" s="1"/>
  <c r="K18" i="37" s="1"/>
  <c r="H18" i="41"/>
  <c r="E18" i="34" s="1"/>
  <c r="E32" i="29"/>
  <c r="E46" i="29" s="1"/>
  <c r="F76" i="7"/>
  <c r="F79" i="7" s="1"/>
  <c r="F84" i="7" s="1"/>
  <c r="F16" i="37" s="1"/>
  <c r="K16" i="37" s="1"/>
  <c r="G16" i="12"/>
  <c r="G42" i="12" s="1"/>
  <c r="G92" i="12" s="1"/>
  <c r="F92" i="12"/>
  <c r="E86" i="14"/>
  <c r="E15" i="37" s="1"/>
  <c r="J15" i="37" s="1"/>
  <c r="E94" i="14" s="1"/>
  <c r="E16" i="31"/>
  <c r="I43" i="36"/>
  <c r="E94" i="9"/>
  <c r="L43" i="36"/>
  <c r="E16" i="42"/>
  <c r="G76" i="7"/>
  <c r="H16" i="12" s="1"/>
  <c r="H42" i="12" s="1"/>
  <c r="H92" i="12" s="1"/>
  <c r="G17" i="37" s="1"/>
  <c r="L17" i="37" s="1"/>
  <c r="M17" i="37" s="1"/>
  <c r="F45" i="41"/>
  <c r="F50" i="41" s="1"/>
  <c r="M34" i="37"/>
  <c r="H31" i="41"/>
  <c r="E20" i="34" s="1"/>
  <c r="F19" i="37"/>
  <c r="K19" i="37" s="1"/>
  <c r="F118" i="41"/>
  <c r="E79" i="7"/>
  <c r="E84" i="7" s="1"/>
  <c r="E16" i="37" s="1"/>
  <c r="J16" i="37" s="1"/>
  <c r="F50" i="9"/>
  <c r="H45" i="41"/>
  <c r="E24" i="34" s="1"/>
  <c r="K30" i="36"/>
  <c r="K43" i="36" s="1"/>
  <c r="G18" i="37" s="1"/>
  <c r="L18" i="37" s="1"/>
  <c r="G86" i="14"/>
  <c r="E27" i="34"/>
  <c r="E33" i="31"/>
  <c r="F23" i="31" s="1"/>
  <c r="F123" i="41"/>
  <c r="F127" i="41" s="1"/>
  <c r="F147" i="41" s="1"/>
  <c r="F166" i="41" s="1"/>
  <c r="F86" i="14"/>
  <c r="E31" i="41"/>
  <c r="E39" i="41" s="1"/>
  <c r="E70" i="41" s="1"/>
  <c r="E83" i="41" s="1"/>
  <c r="E112" i="41"/>
  <c r="E116" i="41" s="1"/>
  <c r="E147" i="41" s="1"/>
  <c r="H113" i="41"/>
  <c r="H112" i="41" s="1"/>
  <c r="E42" i="34" s="1"/>
  <c r="E43" i="34" s="1"/>
  <c r="E47" i="34"/>
  <c r="E29" i="34"/>
  <c r="F187" i="41"/>
  <c r="H187" i="41" s="1"/>
  <c r="E43" i="36"/>
  <c r="E18" i="37" s="1"/>
  <c r="J18" i="37" s="1"/>
  <c r="F68" i="41"/>
  <c r="E39" i="42"/>
  <c r="L40" i="42"/>
  <c r="L39" i="42" s="1"/>
  <c r="G22" i="37" s="1"/>
  <c r="G79" i="7"/>
  <c r="G84" i="7" s="1"/>
  <c r="G16" i="37" s="1"/>
  <c r="L16" i="37" s="1"/>
  <c r="H145" i="41"/>
  <c r="E49" i="42"/>
  <c r="L50" i="42"/>
  <c r="L49" i="42" s="1"/>
  <c r="G26" i="37" s="1"/>
  <c r="L45" i="42"/>
  <c r="L43" i="42" s="1"/>
  <c r="E43" i="42"/>
  <c r="F24" i="37"/>
  <c r="L16" i="42"/>
  <c r="F94" i="9"/>
  <c r="F180" i="41"/>
  <c r="H180" i="41" s="1"/>
  <c r="G94" i="9"/>
  <c r="M36" i="37"/>
  <c r="G35" i="37"/>
  <c r="L35" i="37" s="1"/>
  <c r="M35" i="37" s="1"/>
  <c r="M31" i="15"/>
  <c r="G70" i="41"/>
  <c r="G83" i="41" s="1"/>
  <c r="E23" i="34"/>
  <c r="E19" i="37"/>
  <c r="J19" i="37" s="1"/>
  <c r="F33" i="31"/>
  <c r="F25" i="31"/>
  <c r="G147" i="41"/>
  <c r="E49" i="34"/>
  <c r="E51" i="34" s="1"/>
  <c r="H127" i="41"/>
  <c r="F17" i="31" l="1"/>
  <c r="E21" i="34"/>
  <c r="F16" i="31"/>
  <c r="F24" i="31"/>
  <c r="F30" i="31"/>
  <c r="F19" i="31"/>
  <c r="F28" i="31"/>
  <c r="F26" i="31"/>
  <c r="F18" i="31"/>
  <c r="H170" i="41"/>
  <c r="E61" i="34" s="1"/>
  <c r="F31" i="31"/>
  <c r="M19" i="37"/>
  <c r="M18" i="37"/>
  <c r="F21" i="31"/>
  <c r="F29" i="31"/>
  <c r="H50" i="41"/>
  <c r="H116" i="41"/>
  <c r="H147" i="41" s="1"/>
  <c r="E25" i="34"/>
  <c r="E31" i="34" s="1"/>
  <c r="E35" i="34" s="1"/>
  <c r="M16" i="37"/>
  <c r="H39" i="41"/>
  <c r="F15" i="37"/>
  <c r="K15" i="37" s="1"/>
  <c r="F94" i="14" s="1"/>
  <c r="G15" i="37"/>
  <c r="L15" i="37" s="1"/>
  <c r="P65" i="42" s="1"/>
  <c r="E166" i="41"/>
  <c r="E168" i="41" s="1"/>
  <c r="E217" i="41" s="1"/>
  <c r="E149" i="41"/>
  <c r="E218" i="41"/>
  <c r="F70" i="41"/>
  <c r="F83" i="41" s="1"/>
  <c r="F168" i="41" s="1"/>
  <c r="E38" i="42"/>
  <c r="G24" i="37"/>
  <c r="L38" i="42"/>
  <c r="F170" i="41"/>
  <c r="E53" i="34"/>
  <c r="E57" i="34" s="1"/>
  <c r="G166" i="41"/>
  <c r="G168" i="41" s="1"/>
  <c r="G149" i="41"/>
  <c r="G61" i="37" l="1"/>
  <c r="L61" i="37" s="1"/>
  <c r="M61" i="37" s="1"/>
  <c r="E222" i="41"/>
  <c r="H70" i="41"/>
  <c r="H83" i="41" s="1"/>
  <c r="F149" i="41"/>
  <c r="O65" i="42"/>
  <c r="M15" i="37"/>
  <c r="G94" i="14"/>
  <c r="E219" i="41"/>
  <c r="H166" i="41"/>
  <c r="E59" i="34"/>
  <c r="E63" i="34" s="1"/>
  <c r="H168" i="41" l="1"/>
  <c r="E221" i="41" s="1"/>
  <c r="E223" i="41" s="1"/>
  <c r="H149" i="41"/>
  <c r="G32" i="39"/>
  <c r="F43" i="37" s="1"/>
  <c r="G35" i="39" l="1"/>
  <c r="F35" i="39" l="1"/>
  <c r="F44" i="37"/>
  <c r="K44" i="37" s="1"/>
  <c r="J19" i="39"/>
  <c r="I19" i="39" l="1"/>
  <c r="J35" i="39"/>
  <c r="G44" i="37" l="1"/>
  <c r="L44" i="37" s="1"/>
  <c r="M44" i="37" s="1"/>
  <c r="I35" i="39"/>
</calcChain>
</file>

<file path=xl/sharedStrings.xml><?xml version="1.0" encoding="utf-8"?>
<sst xmlns="http://schemas.openxmlformats.org/spreadsheetml/2006/main" count="2092" uniqueCount="1113">
  <si>
    <t xml:space="preserve"> PRESUPUESTO GENERAL</t>
  </si>
  <si>
    <t xml:space="preserve"> PROGRAMA DE ACTUACIÓN, INVERSIONES Y FINANCIACIÓN (PAIF)</t>
  </si>
  <si>
    <t xml:space="preserve"> ENTIDAD:</t>
  </si>
  <si>
    <t>a) Por el Cabildo Insular de Tenerife o sus Entes Dependientes</t>
  </si>
  <si>
    <t>b) Por otras Administraciones Públicas</t>
  </si>
  <si>
    <t>Nombre</t>
  </si>
  <si>
    <t>Cargo</t>
  </si>
  <si>
    <t>Fecha nombramiento:</t>
  </si>
  <si>
    <t>Vocal 1</t>
  </si>
  <si>
    <t>Vocal 2</t>
  </si>
  <si>
    <t>Vocal 3</t>
  </si>
  <si>
    <t>Vocal 4</t>
  </si>
  <si>
    <t>Vocal 5</t>
  </si>
  <si>
    <t>Vocal 6</t>
  </si>
  <si>
    <t>Vocal 7</t>
  </si>
  <si>
    <t>Vocal 8</t>
  </si>
  <si>
    <t>Vocal 9</t>
  </si>
  <si>
    <t>Vocal 10</t>
  </si>
  <si>
    <t>Vocal 11</t>
  </si>
  <si>
    <t>Vocal 12</t>
  </si>
  <si>
    <t>Razón Social</t>
  </si>
  <si>
    <t>NIF</t>
  </si>
  <si>
    <t>% Participación</t>
  </si>
  <si>
    <t>Incremento en la participación</t>
  </si>
  <si>
    <t>Incremento en el nº de acciones</t>
  </si>
  <si>
    <t>Reducciones en la participación</t>
  </si>
  <si>
    <t>Reducciones en el nº de acciones</t>
  </si>
  <si>
    <t>b) PARTICIPACIONES EN OTRAS ENTIDADES</t>
  </si>
  <si>
    <t>Desembolsos pendientes</t>
  </si>
  <si>
    <t>c) AUDITORES DE CUENTAS</t>
  </si>
  <si>
    <t>Nombre ó Razón Social</t>
  </si>
  <si>
    <t>Dirección Insular de Hacienda</t>
  </si>
  <si>
    <t xml:space="preserve"> DATOS GENERALES E ÍNDICE</t>
  </si>
  <si>
    <t xml:space="preserve">  Entidad:</t>
  </si>
  <si>
    <t xml:space="preserve">  Ejercicio:</t>
  </si>
  <si>
    <t>Letrado Asesor</t>
  </si>
  <si>
    <t>FC-1</t>
  </si>
  <si>
    <t>Órganos de Gobierno</t>
  </si>
  <si>
    <t xml:space="preserve">FC-2 </t>
  </si>
  <si>
    <t>Accionistas</t>
  </si>
  <si>
    <t>FC-3</t>
  </si>
  <si>
    <t>Cuenta de Pérdidas y Ganancias</t>
  </si>
  <si>
    <t>FC-4</t>
  </si>
  <si>
    <t>FC-5</t>
  </si>
  <si>
    <t>Estado de Flujos de Efectivo</t>
  </si>
  <si>
    <t>FC-6</t>
  </si>
  <si>
    <t>FC-3.1</t>
  </si>
  <si>
    <t>Información adicional Cuenta de Pérdidas y Ganancias</t>
  </si>
  <si>
    <t>Inversiones reales</t>
  </si>
  <si>
    <t>FC-7</t>
  </si>
  <si>
    <t>Inversiones no financieras</t>
  </si>
  <si>
    <t>FC-8</t>
  </si>
  <si>
    <t>Inversiones financieras</t>
  </si>
  <si>
    <t>FC-9</t>
  </si>
  <si>
    <t>Transferencias y subvenciones</t>
  </si>
  <si>
    <t>FC-10</t>
  </si>
  <si>
    <t>Deuda viva y previsión de vencimientos de deuda</t>
  </si>
  <si>
    <t>FC-11</t>
  </si>
  <si>
    <t>Perfíl de vencimientos de deuda a 10 años</t>
  </si>
  <si>
    <t>FC-12</t>
  </si>
  <si>
    <t>FC-13</t>
  </si>
  <si>
    <t>Personal</t>
  </si>
  <si>
    <t>FC-16</t>
  </si>
  <si>
    <t>Operaciones internas</t>
  </si>
  <si>
    <t>Estabilidad presupuestaria</t>
  </si>
  <si>
    <t>ÍNDICE</t>
  </si>
  <si>
    <t>FC-90</t>
  </si>
  <si>
    <t>Fuentes de financiación</t>
  </si>
  <si>
    <t>Presupuesto</t>
  </si>
  <si>
    <t>ÓRGANOS DE GOBIERNO DE LA ENTIDAD</t>
  </si>
  <si>
    <t>Cabildo Insular de Tenerife</t>
  </si>
  <si>
    <t>Plaza de España, S/N</t>
  </si>
  <si>
    <t>38003 Santa Cruz de Tenerife</t>
  </si>
  <si>
    <t>Teléfono: 901 501 901</t>
  </si>
  <si>
    <t>www.tenerife.es</t>
  </si>
  <si>
    <t>GENERAL</t>
  </si>
  <si>
    <t>ACCIONISTAS, PARTICIPACIONES EN OTRAS ENTIDADES Y AUDITORES DE CUENTAS</t>
  </si>
  <si>
    <t>FC-2</t>
  </si>
  <si>
    <t>CUENTA DE PÉRDIDAS Y GANANCIAS</t>
  </si>
  <si>
    <t>A)</t>
  </si>
  <si>
    <t>OPERACIONES CONTINUADAS</t>
  </si>
  <si>
    <t>1.</t>
  </si>
  <si>
    <t>a)</t>
  </si>
  <si>
    <t>Ventas</t>
  </si>
  <si>
    <t>b)</t>
  </si>
  <si>
    <t>Prestaciones de servicios</t>
  </si>
  <si>
    <t>c)</t>
  </si>
  <si>
    <t>Ingresos de carácter financiero de las sociedades holding</t>
  </si>
  <si>
    <t>2.</t>
  </si>
  <si>
    <t>Variación de existencias de productos terminados y en curso de fabricación</t>
  </si>
  <si>
    <t>3.</t>
  </si>
  <si>
    <t>Trabajos realizados por la empresa para su activo</t>
  </si>
  <si>
    <t>4.</t>
  </si>
  <si>
    <t>Aprovisionamientos</t>
  </si>
  <si>
    <t>Consumo de mercaderías</t>
  </si>
  <si>
    <t>Consumo de materias primas y otros materiales consumibles</t>
  </si>
  <si>
    <t>Trabajos realizados por otras empresas</t>
  </si>
  <si>
    <t>d)</t>
  </si>
  <si>
    <t>Deterioro de mercaderías, materias primas y otros aprovisionamientos</t>
  </si>
  <si>
    <t xml:space="preserve">5. </t>
  </si>
  <si>
    <t>Ingresos accesorios y otros de gestión corriente</t>
  </si>
  <si>
    <t>Subvenciones de explotación incorporadas al resultado del ejercicio</t>
  </si>
  <si>
    <t>6.</t>
  </si>
  <si>
    <t>Gastos de personal</t>
  </si>
  <si>
    <t>Sueldos, salarios y asimilados</t>
  </si>
  <si>
    <t>Cargas sociales</t>
  </si>
  <si>
    <t>Provisiones</t>
  </si>
  <si>
    <t>7.</t>
  </si>
  <si>
    <t>Otros gastos de explotación</t>
  </si>
  <si>
    <t>Servicios exteriores</t>
  </si>
  <si>
    <t>Tributos</t>
  </si>
  <si>
    <t>Pérdidas, deterioro y variación de provisiones por operaciones comerciales</t>
  </si>
  <si>
    <t>Otros gastos de gestión corriente</t>
  </si>
  <si>
    <t>e)</t>
  </si>
  <si>
    <t>Gastos por emisión de gases de efecto invernadero</t>
  </si>
  <si>
    <t>8.</t>
  </si>
  <si>
    <t>Amortización del inmovilizado</t>
  </si>
  <si>
    <t>9.</t>
  </si>
  <si>
    <t>Imputación de subvenciones de inmovilizado no financiero y otras</t>
  </si>
  <si>
    <t>10.</t>
  </si>
  <si>
    <t>Excesos de provisiones</t>
  </si>
  <si>
    <t>11.</t>
  </si>
  <si>
    <t>Deteriorio y resultados por enajenaciones del inmovilizado</t>
  </si>
  <si>
    <t>Deterioro y pérdidas</t>
  </si>
  <si>
    <t>Resultados por enajenaciones y otras</t>
  </si>
  <si>
    <t>Deterioro y resultados por enajenaciones del inmovilizado de las sociedades holding</t>
  </si>
  <si>
    <t>12.</t>
  </si>
  <si>
    <t>Diferencia negativa de combinaciones de negocio</t>
  </si>
  <si>
    <t>13.</t>
  </si>
  <si>
    <t>A1)</t>
  </si>
  <si>
    <t>RESULTADO DE EXPLOTACIÓN (1+2+3+4+5+6+7+8+9+10+11+12+13)</t>
  </si>
  <si>
    <t>14.</t>
  </si>
  <si>
    <t>Ingresos financieros</t>
  </si>
  <si>
    <t>De participaciones en instrumentos de patrimonio</t>
  </si>
  <si>
    <t>a1)</t>
  </si>
  <si>
    <t>En empresas del grupo y asociadas</t>
  </si>
  <si>
    <t>a2)</t>
  </si>
  <si>
    <t>En terceros</t>
  </si>
  <si>
    <t>De valores negociables y otros instrumentos financieros</t>
  </si>
  <si>
    <t>b1)</t>
  </si>
  <si>
    <t>De empresas del grupo y asociadas</t>
  </si>
  <si>
    <t>b2)</t>
  </si>
  <si>
    <t>De terceros</t>
  </si>
  <si>
    <t>Imputación de subvenciones, donaciones y legados de carácter financiero</t>
  </si>
  <si>
    <t>15.</t>
  </si>
  <si>
    <t>Gastos financieros</t>
  </si>
  <si>
    <t>Por deudas con empresas del grupo y asociadas</t>
  </si>
  <si>
    <t>Por deudas con terceros</t>
  </si>
  <si>
    <t>Por actualización de provisiones</t>
  </si>
  <si>
    <t>16.</t>
  </si>
  <si>
    <t>Variación de valor razonable en instrumentos financieros</t>
  </si>
  <si>
    <t>Cartera de negociación y otros</t>
  </si>
  <si>
    <t>Imputación al resultado del ejercicio por activos financieros disponibles para la venta</t>
  </si>
  <si>
    <t>17.</t>
  </si>
  <si>
    <t>Diferencias de cambio</t>
  </si>
  <si>
    <t>18.</t>
  </si>
  <si>
    <t>Deterioro y resultado por enajenaciones de instrumentos financieros</t>
  </si>
  <si>
    <t>Deterioros y pérdidas</t>
  </si>
  <si>
    <t>19.</t>
  </si>
  <si>
    <t>Otros ingresos y gastos de carácter financiero</t>
  </si>
  <si>
    <t>Incorporación al activo de gastos financieros</t>
  </si>
  <si>
    <t>Ingresos financieros derivados de convenios de acreedores</t>
  </si>
  <si>
    <t>Resto de ingresos y gastos</t>
  </si>
  <si>
    <t>A2)</t>
  </si>
  <si>
    <t>RESULTADO FINANCIERO (14+15+16+17+18+19)</t>
  </si>
  <si>
    <t>A3)</t>
  </si>
  <si>
    <t>RESULTADO ANTES DE IMPUESTOS (A1+A2)</t>
  </si>
  <si>
    <t>20.</t>
  </si>
  <si>
    <t>Impuesto sobre beneficios</t>
  </si>
  <si>
    <t>A4)</t>
  </si>
  <si>
    <t>B)</t>
  </si>
  <si>
    <t>OPERACIONES INTERRUMPIDAS</t>
  </si>
  <si>
    <t>21.</t>
  </si>
  <si>
    <t>Resultado procedente de operaciones interrumpidas neto de impuestos</t>
  </si>
  <si>
    <t>A5)</t>
  </si>
  <si>
    <t>RESULTADO DEL EJERCICIO (A4+21)</t>
  </si>
  <si>
    <t>Real</t>
  </si>
  <si>
    <t>Estimación</t>
  </si>
  <si>
    <t>Previsión</t>
  </si>
  <si>
    <t>RESULTADOS EJERC. PROCEDENTES ACTIVIDADES CONTINUADAS (A3+20)</t>
  </si>
  <si>
    <t xml:space="preserve">A) </t>
  </si>
  <si>
    <t>ACTIVO NO CORRIENTE</t>
  </si>
  <si>
    <t>I.</t>
  </si>
  <si>
    <t>Inmovilizado intangible</t>
  </si>
  <si>
    <t>Desarrollo</t>
  </si>
  <si>
    <t>Concesiones</t>
  </si>
  <si>
    <t>Patentes, licencias, marcas y similares</t>
  </si>
  <si>
    <t>Fondo de comercio</t>
  </si>
  <si>
    <t>5.</t>
  </si>
  <si>
    <t>Aplicaciones informáticas</t>
  </si>
  <si>
    <t>Investigación</t>
  </si>
  <si>
    <t>Otros inmovilizado intangible</t>
  </si>
  <si>
    <t>II.</t>
  </si>
  <si>
    <t>Inmovilizado material</t>
  </si>
  <si>
    <t>Terrenos y construcciones</t>
  </si>
  <si>
    <t>Instalaciones técnicas y otro inmovilizado material</t>
  </si>
  <si>
    <t>Inmovilizado en curso y anticipos</t>
  </si>
  <si>
    <t>III.</t>
  </si>
  <si>
    <t>Inversiones inmobiliarias</t>
  </si>
  <si>
    <t>Terrenos</t>
  </si>
  <si>
    <t>Construcciones</t>
  </si>
  <si>
    <t>IV.</t>
  </si>
  <si>
    <t>Inversiones en empresas del grupo y asociadas a largo plazo</t>
  </si>
  <si>
    <t>Instrumentos de patrimonio</t>
  </si>
  <si>
    <t>Créditos a empresas</t>
  </si>
  <si>
    <t>Valores representativos de deuda</t>
  </si>
  <si>
    <t>Derivados</t>
  </si>
  <si>
    <t>Otros activos financieros</t>
  </si>
  <si>
    <t>Otras inversiones</t>
  </si>
  <si>
    <t>V.</t>
  </si>
  <si>
    <t>Inversiones financieras a largo plazo</t>
  </si>
  <si>
    <t>Créditos a terceros</t>
  </si>
  <si>
    <t>VI.</t>
  </si>
  <si>
    <t>Activos por impuesto diferido</t>
  </si>
  <si>
    <t>VII.</t>
  </si>
  <si>
    <t>Deudas comerciales no corrientes</t>
  </si>
  <si>
    <t>ACTIVO CORRIENTE</t>
  </si>
  <si>
    <t>Activos no corrientes mantenidos para la venta</t>
  </si>
  <si>
    <t>Existencias</t>
  </si>
  <si>
    <t>Comerciales</t>
  </si>
  <si>
    <t>Materias primas y otros aprovisionamientos</t>
  </si>
  <si>
    <t>Productos en curso</t>
  </si>
  <si>
    <t>De ciclo largo de producción</t>
  </si>
  <si>
    <t>De ciclo corto de producción</t>
  </si>
  <si>
    <t>Productos terminados</t>
  </si>
  <si>
    <t>Subproductos, residuos y materiales recuperados</t>
  </si>
  <si>
    <t>Anticipos a proveedores</t>
  </si>
  <si>
    <t>Deudores comerciales y otras cuentas a cobrar</t>
  </si>
  <si>
    <t>Clientes por ventas y prestaciones de servicios</t>
  </si>
  <si>
    <t>Clientes por ventas y prestaciones de servicios a largo plazo</t>
  </si>
  <si>
    <t>Clientes por ventas y prestaciones de servicios a corto plazo</t>
  </si>
  <si>
    <t>Clientes empresas del grupo y asociadas</t>
  </si>
  <si>
    <t>Deudores varios</t>
  </si>
  <si>
    <t>Activos por impuesto corriente</t>
  </si>
  <si>
    <t>Otros créditos con las administraciones públicas</t>
  </si>
  <si>
    <t>Accionistas (socios) por desembolsos exigidos</t>
  </si>
  <si>
    <t>Inversiones en empresas del grupo y asociadas a corto plazo</t>
  </si>
  <si>
    <t>Inversiones financieras a corto plazo</t>
  </si>
  <si>
    <t>Periodificaciones a corto plazo</t>
  </si>
  <si>
    <t>Efectivo y otros activos líquidos equivalentes</t>
  </si>
  <si>
    <t>Tesorería</t>
  </si>
  <si>
    <t>Otros activos líquidos equivalentes</t>
  </si>
  <si>
    <t>Propiedad intelectual</t>
  </si>
  <si>
    <t>ACTIVO</t>
  </si>
  <si>
    <t>Materias primas y otros aprovisionamientos a largo plazo</t>
  </si>
  <si>
    <t>Materias primas y otros aprovisionamientos a corto plazo</t>
  </si>
  <si>
    <t xml:space="preserve">      TOTAL ACTIVO (A+B)</t>
  </si>
  <si>
    <t>BALANCE DE SITUACIÓN - ACTIVO</t>
  </si>
  <si>
    <t>BALANCE DE SITUACIÓN - PATRIMONIO NETO Y PASIVO</t>
  </si>
  <si>
    <t>PATRIMONIO NETO</t>
  </si>
  <si>
    <t>Fondos propios</t>
  </si>
  <si>
    <t>Capital</t>
  </si>
  <si>
    <t>Capital escriturado</t>
  </si>
  <si>
    <t>(Capital no exigido)</t>
  </si>
  <si>
    <t>Prima de emisión</t>
  </si>
  <si>
    <t>Reservas</t>
  </si>
  <si>
    <t>Legal y estatutarias</t>
  </si>
  <si>
    <t>Otras reservas</t>
  </si>
  <si>
    <t>Reserva de revalorización</t>
  </si>
  <si>
    <t>(Acciones y participaciones en patrimonio propias)</t>
  </si>
  <si>
    <t>Resultados de ejercicios anteriores</t>
  </si>
  <si>
    <t>Remanente</t>
  </si>
  <si>
    <t>(Resultados negativos de ejercicios anteriores)</t>
  </si>
  <si>
    <t>Otras aportaciones de socios</t>
  </si>
  <si>
    <t>Resultado del ejercicio</t>
  </si>
  <si>
    <t>VIII.</t>
  </si>
  <si>
    <t>(Dividendo a cuenta)</t>
  </si>
  <si>
    <t>IX.</t>
  </si>
  <si>
    <t>Otros instrumentos de patrimonio neto</t>
  </si>
  <si>
    <t>Ajustes por cambios de valor</t>
  </si>
  <si>
    <t>Activos financieros disponibles para la venta</t>
  </si>
  <si>
    <t>Operaciones de cobertura</t>
  </si>
  <si>
    <t>Activos no corrientes y pasivos vinculados, mantenidos para la venta</t>
  </si>
  <si>
    <t>Diferencia de conversión</t>
  </si>
  <si>
    <t>Otros</t>
  </si>
  <si>
    <t>Subvenciones, donaciones y legados recibidos</t>
  </si>
  <si>
    <t xml:space="preserve">B) </t>
  </si>
  <si>
    <t>PASIVO NO CORRIENTE</t>
  </si>
  <si>
    <t>Provisiones a largo plazo</t>
  </si>
  <si>
    <t>Obligaciones por prestaciones a largo plazo al personal</t>
  </si>
  <si>
    <t>Actuaciones medioambientales</t>
  </si>
  <si>
    <t>Provisiones por reestructuración</t>
  </si>
  <si>
    <t>Otras provisiones</t>
  </si>
  <si>
    <t>Deudas a largo plazo</t>
  </si>
  <si>
    <t>Obligaciones y otros valores negociales</t>
  </si>
  <si>
    <t>Deudas con entidades de crédito</t>
  </si>
  <si>
    <t>Acreedores por arrendamiento financiero</t>
  </si>
  <si>
    <t>Otros pasivos financieros</t>
  </si>
  <si>
    <t>Deudas con empresas del grupo y asociadas a largo plazo</t>
  </si>
  <si>
    <t>Pasivos por impuesto diferido</t>
  </si>
  <si>
    <t>Periodificaciones a largo plazo</t>
  </si>
  <si>
    <t>Acreedores comerciales no corrientes</t>
  </si>
  <si>
    <t>Deuda con características especiales a largo plazo</t>
  </si>
  <si>
    <t>C)</t>
  </si>
  <si>
    <t>PASIVO CORRIENTE</t>
  </si>
  <si>
    <t>Pasivos vinculados con activos no corrientes mantenidos para la venta</t>
  </si>
  <si>
    <t>Provisiones a corto plazo</t>
  </si>
  <si>
    <t>Provisiones por derechos de emisión de gases de efecto invernadero</t>
  </si>
  <si>
    <t>Deudas a corto plazo</t>
  </si>
  <si>
    <t>Obligaciones y otros valores negociables</t>
  </si>
  <si>
    <t>Deudas con empresas del grupo y asociadas a corto plazo</t>
  </si>
  <si>
    <t>Acreedores comerciales y otras cuentas a pagar</t>
  </si>
  <si>
    <t>Proveedores</t>
  </si>
  <si>
    <t>Proveedores a largo plazo</t>
  </si>
  <si>
    <t>Proveedores a corto plazo</t>
  </si>
  <si>
    <t>Proveedores, empresas del grupo y asociadas</t>
  </si>
  <si>
    <t>Acreedores varios</t>
  </si>
  <si>
    <t>Personal (remuneraciones pendientes de pago)</t>
  </si>
  <si>
    <t>Pasivos por impuesto corriente</t>
  </si>
  <si>
    <t>Otras deudas con las Administraciones Públicas</t>
  </si>
  <si>
    <t>Anticipos de clientes</t>
  </si>
  <si>
    <t>Deudas con características especiales a corto plazo</t>
  </si>
  <si>
    <t>TOTAL PATRIMONIO NETO Y PASIVO (A+B+C)</t>
  </si>
  <si>
    <t>Reserva de capitalización</t>
  </si>
  <si>
    <t>ESTADO DE FLUJOS DE EFECTIVO</t>
  </si>
  <si>
    <t>A) FLUJOS DE EFECTIVO DE LAS ACTIVIDADES DE EXPLOTACIÓN</t>
  </si>
  <si>
    <t>1. Resultado del ejercicio antes de impuestos</t>
  </si>
  <si>
    <t>2. Ajustes del resultado</t>
  </si>
  <si>
    <t>a) Amortización del inmovilizado (+)</t>
  </si>
  <si>
    <t>b) Correcciones valorativas por deterioro (+/-)</t>
  </si>
  <si>
    <t>c) Variaciones de provisiones (+/-)</t>
  </si>
  <si>
    <t>d) Imputación de subvenciones (-)</t>
  </si>
  <si>
    <t>e) Resultados por bajas y enajenaciones del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</si>
  <si>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</si>
  <si>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</si>
  <si>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</si>
  <si>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</si>
  <si>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</si>
  <si>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</si>
  <si>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</si>
  <si>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</si>
  <si>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</si>
  <si>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</si>
  <si>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</si>
  <si>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</si>
  <si>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</si>
  <si>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</si>
  <si>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Pagos de intereses (-)</t>
  </si>
  <si>
    <t>b) Cobro de dividendos (+)</t>
  </si>
  <si>
    <t>c) Cobro de intereses (+)</t>
  </si>
  <si>
    <t>d) Cobros (pagos) por impuesto sobre beneficios (+/-)</t>
  </si>
  <si>
    <t>e) Otros pagos (cobros) (-/+)</t>
  </si>
  <si>
    <t>5. Flujos de efectivo de las actividades de explotación ( 1 + 2 + 3 + 4 )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</si>
  <si>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</si>
  <si>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</si>
  <si>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</si>
  <si>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</si>
  <si>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</si>
  <si>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</si>
  <si>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</si>
  <si>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</si>
  <si>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7. Cobros por desinversiones (+)</t>
  </si>
  <si>
    <t>8. Flujos de efectivo de las actividades de inversión ( 6 +7 )</t>
  </si>
  <si>
    <t>C) FLUJOS DE EFECTIVO DE LAS ACTIVIDADES DE FINANCIACIÓN</t>
  </si>
  <si>
    <t>9. Cobros y pagos por instrumentos financieros</t>
  </si>
  <si>
    <t>a) Emisión de instrumentos de patrimonio (+)</t>
  </si>
  <si>
    <t>b) Amortización de instrumentos de patrimonio (-)</t>
  </si>
  <si>
    <t>d) Enajenación de instrumentos de patrimonio propio (+)</t>
  </si>
  <si>
    <t>e) Subvenciones, donaciones y legados recibidos (+)</t>
  </si>
  <si>
    <t>10. Cobros y pagos por instrumentos de pasivo financiero</t>
  </si>
  <si>
    <t>a) Emisión</t>
  </si>
  <si>
    <t>1. Obligaciones y otros valores negociables (+)</t>
  </si>
  <si>
    <t>2. Deudas con entidades de crédito (+)</t>
  </si>
  <si>
    <t>3. Deudas con empresas del grupo y asociadas (+)</t>
  </si>
  <si>
    <t>4. Deudas con características especiales (+)</t>
  </si>
  <si>
    <t>5. Otras deudas (+)</t>
  </si>
  <si>
    <t>b) Devolución y amortización de</t>
  </si>
  <si>
    <t>11. Pagos por dividendos y remuneraciones de otros instrumentos de patrimonio</t>
  </si>
  <si>
    <t>a) Dividendos (-)</t>
  </si>
  <si>
    <t>b) Remuneración de otros instrumentos de patrimonio (-)</t>
  </si>
  <si>
    <t>D) EFECTO DE LAS VARIACIONES DE LOS TIPOS DE CAMBIO</t>
  </si>
  <si>
    <t>Efectivo o equivalentes al final del ejercicio</t>
  </si>
  <si>
    <t>12. Flujos de efectivo de las actividades de financiación ( 9 + 10 + 11)</t>
  </si>
  <si>
    <t>E) AUMENTO / DISMINUCIÓN NETA DEL EFECTIVO O EQUIVALENTES  ( 5+8+12+D )</t>
  </si>
  <si>
    <t>g) Unidades de negocio</t>
  </si>
  <si>
    <t>h) Otros activos</t>
  </si>
  <si>
    <t>Código</t>
  </si>
  <si>
    <t>Denominación</t>
  </si>
  <si>
    <t>Año inicial</t>
  </si>
  <si>
    <t>Año fin</t>
  </si>
  <si>
    <t>Ejecución prevista</t>
  </si>
  <si>
    <t>hasta 31 diciembre</t>
  </si>
  <si>
    <t>Resto</t>
  </si>
  <si>
    <t>Previsión de importe comprometidos a 31-12-</t>
  </si>
  <si>
    <t>TOTALES</t>
  </si>
  <si>
    <t xml:space="preserve">    PATRIMONIO NETO Y PASIVO</t>
  </si>
  <si>
    <t>Intereses</t>
  </si>
  <si>
    <t>(+/-) Otras variaciones (especificar en observaciones) (8)</t>
  </si>
  <si>
    <t>Saldo inicial</t>
  </si>
  <si>
    <t xml:space="preserve">  Inmovilizado Intangible</t>
  </si>
  <si>
    <t xml:space="preserve">  Inmovilizado material (excepto terrenos)</t>
  </si>
  <si>
    <t xml:space="preserve">  Inversiones inmobiliarias (excepto terrenos)</t>
  </si>
  <si>
    <t xml:space="preserve">  Inmovilizado material (terrenos)</t>
  </si>
  <si>
    <t xml:space="preserve">  Inversiones inmobiliarias (terrenos)</t>
  </si>
  <si>
    <t>TOTAL</t>
  </si>
  <si>
    <t xml:space="preserve">  Existencias</t>
  </si>
  <si>
    <t>Variaciones</t>
  </si>
  <si>
    <t>(+/-)Provisión por desmantelamiento (3)</t>
  </si>
  <si>
    <t>(+)Adquisiciones      (2)</t>
  </si>
  <si>
    <t>(+)Intereses capitalizados          (4)</t>
  </si>
  <si>
    <t>(-)Amortización del ejercicio                    (5)</t>
  </si>
  <si>
    <t>(+/-)Deterioro o Reversión del deterioro                   (6)</t>
  </si>
  <si>
    <t>(-) Ventas                   (7)</t>
  </si>
  <si>
    <t xml:space="preserve"> I. Estimación</t>
  </si>
  <si>
    <t>II. Previsión</t>
  </si>
  <si>
    <t>NOTAS</t>
  </si>
  <si>
    <r>
      <t xml:space="preserve">Saldo inicial </t>
    </r>
    <r>
      <rPr>
        <b/>
        <sz val="9"/>
        <color theme="1"/>
        <rFont val="Arial"/>
        <family val="2"/>
      </rPr>
      <t>(1)</t>
    </r>
  </si>
  <si>
    <r>
      <t xml:space="preserve">Saldo final </t>
    </r>
    <r>
      <rPr>
        <b/>
        <sz val="9"/>
        <color theme="1"/>
        <rFont val="Arial"/>
        <family val="2"/>
      </rPr>
      <t>(9)</t>
    </r>
  </si>
  <si>
    <t>INVERSIONES NO FINANCIERAS. Variaciones del inmovilizado y existencias</t>
  </si>
  <si>
    <t>INVERSIONES FINANCIERAS. Variación de las inversiones financieras e instrumentos de patrimonio.</t>
  </si>
  <si>
    <t>Entidad beneficiaria</t>
  </si>
  <si>
    <t>Cuenta</t>
  </si>
  <si>
    <t>de balance</t>
  </si>
  <si>
    <t>Adquisiciones (3)</t>
  </si>
  <si>
    <t>Enajenaciones o reembolsos de préstamos concedidos</t>
  </si>
  <si>
    <t>Pérdidas de valor y otros</t>
  </si>
  <si>
    <t>Porcentaje</t>
  </si>
  <si>
    <t>Dividendo</t>
  </si>
  <si>
    <t>INVERSIONES EN INSTRUMENTOS DE PATRIMONIO (4)</t>
  </si>
  <si>
    <t>RESTO DE INVERSIONES (5)</t>
  </si>
  <si>
    <t>I. INVERSIONES EN EMPRESAS DEL GRUPO Y ASOCIADAS (1)</t>
  </si>
  <si>
    <t>II. INVERSIONES EN OTRAS EMPRESAS (6)</t>
  </si>
  <si>
    <t>INVERSIONES EN INSTRUMENTOS DE PATRIMONIO (9)</t>
  </si>
  <si>
    <t>RESTO DE INVERSIONES (10)</t>
  </si>
  <si>
    <t>(1) INVERSIONES: Inclyue las inversiones financieras, tanto a largo como a corto plazo, que la entidad realiza en entidades del grupo y asociadas con independencia de que la empresa tenga la intención de venderlos en el corto plazo.</t>
  </si>
  <si>
    <t>(2) % PARTICIPACION: poncentaje total de participación que, al final del ejercicio, la entidad posee en la sociedad del grupo o asociada.</t>
  </si>
  <si>
    <t>(3) OBSERVACIONES: se recogera cualquier otra información que se considere relevante relativa a cada operación. En particular, se señalará el importe de los desembolsos pendientes en instrumentos de patrimonio.</t>
  </si>
  <si>
    <t>(4) INVERSIONES EN INSTRUMENTOS DE PATRIMONIO: recoge las inversiones a corto o largo plazo en derechos sobre el patrimonio neto tales como acciones con o sin cotización oficial y otros valores en empresas del grupo o asociadas.</t>
  </si>
  <si>
    <t>(5) RESTO DE INVERSIONES: se incluyen en este apartado el importe de los valores representativos de deuda así como los créditos, tanto a largo como a corto plazo, en entidades del grupo y asociadas.</t>
  </si>
  <si>
    <t>(8) OBSERVACIONES: se recogera cualquier otra información que se considere relevante relativa a cada operación. En particular, se señalará el importe de los desembolsos pendientes en instrumentos de patrimonio.</t>
  </si>
  <si>
    <t>(9) INVERSIONES EN INSTRUMENTOS DE PATRIMONIO: recoge las inversiones a corto o largo plazo en derechos sobre el patrimonio neto tales como acciones con o sin cotización oficial y otros valores en empresas QUE NO SON del grupo  NI asociadas.</t>
  </si>
  <si>
    <t>(10) RESTO DE INVERSIONES: se incluyen en este apartado el importe de los valores representativos de deuda así como los créditos, tanto a largo como a corto plazo, en entidades QUE NO SON del grupo  NI asociadas.</t>
  </si>
  <si>
    <t>I. SUBVENCIONES Y TRANSFERENCIAS.</t>
  </si>
  <si>
    <t>I.1. SUBVENCIONES DE CAPITAL</t>
  </si>
  <si>
    <t>Ente</t>
  </si>
  <si>
    <t>Área</t>
  </si>
  <si>
    <t>ÁREA</t>
  </si>
  <si>
    <t>ECON.</t>
  </si>
  <si>
    <t>PROG.</t>
  </si>
  <si>
    <t xml:space="preserve">TOTAL CONCEDIDAS </t>
  </si>
  <si>
    <t>Menos imputación de subvenciones al resultado del ejercicio</t>
  </si>
  <si>
    <t>SALDO FINAL DE SUBVENCIONES, DONACIONES Y LEGADOS</t>
  </si>
  <si>
    <t>DEUDA VIVA Y PREVISIÓN DE VENCIMIENTOS DE DEUDA</t>
  </si>
  <si>
    <t>Concepto</t>
  </si>
  <si>
    <t>Deuda viva</t>
  </si>
  <si>
    <t>a 31 dic.</t>
  </si>
  <si>
    <t>ene</t>
  </si>
  <si>
    <t>feb</t>
  </si>
  <si>
    <t>mar</t>
  </si>
  <si>
    <t>Vencimientos previstos</t>
  </si>
  <si>
    <t>Deudas a corto plazo (Operaciones de tesorería)</t>
  </si>
  <si>
    <t xml:space="preserve">   Emisiones de deuda</t>
  </si>
  <si>
    <t xml:space="preserve">   Operaciones con entidades de crédito</t>
  </si>
  <si>
    <t xml:space="preserve">   Factoring sin recurso</t>
  </si>
  <si>
    <t xml:space="preserve">   Deudas con Administraciones Públicas (FFPP)  (1)</t>
  </si>
  <si>
    <t xml:space="preserve">   Otras operaciones de crédito</t>
  </si>
  <si>
    <t>Avales ejecutados durante el ejercicio</t>
  </si>
  <si>
    <r>
      <t xml:space="preserve">   Entidades dependientes de la corporación local </t>
    </r>
    <r>
      <rPr>
        <sz val="10"/>
        <color theme="1"/>
        <rFont val="Arial"/>
        <family val="2"/>
      </rPr>
      <t>(clasificadas con AA PP)</t>
    </r>
  </si>
  <si>
    <t xml:space="preserve">   Resto de entidades</t>
  </si>
  <si>
    <t>Avales reintegrados durante el ejercicio</t>
  </si>
  <si>
    <t>(1) Solo se incluyen los préstamos con el Fondo de Financiación de Pago a Proveedores (FFPP) instrumentados a través de operaciones de endeudamiento</t>
  </si>
  <si>
    <r>
      <t xml:space="preserve">Vencimientos previstos en el ejercicio </t>
    </r>
    <r>
      <rPr>
        <b/>
        <sz val="10"/>
        <rFont val="Arial"/>
        <family val="2"/>
      </rPr>
      <t>(Incluyendo las operaciones contratadas y previsto contratar en el ejercicio presupuestado)</t>
    </r>
  </si>
  <si>
    <r>
      <t>PERFIL DE VENCIMIENTO DE DEUDA EN LOS PRÓXIMOS 10 AÑOS.</t>
    </r>
    <r>
      <rPr>
        <b/>
        <sz val="10"/>
        <color theme="1"/>
        <rFont val="Arial"/>
        <family val="2"/>
      </rPr>
      <t xml:space="preserve"> (Total de operaciones contratadas y previsto contratar en el ejercicio presupuestado)</t>
    </r>
  </si>
  <si>
    <t xml:space="preserve">   Total vencimientos</t>
  </si>
  <si>
    <t>Nº</t>
  </si>
  <si>
    <t>Operación</t>
  </si>
  <si>
    <t>Tipo</t>
  </si>
  <si>
    <t>Concesión</t>
  </si>
  <si>
    <t>Entidad</t>
  </si>
  <si>
    <t>Financiera</t>
  </si>
  <si>
    <t>Importe</t>
  </si>
  <si>
    <t xml:space="preserve">   Total </t>
  </si>
  <si>
    <t>Epígrafe</t>
  </si>
  <si>
    <t>Balance</t>
  </si>
  <si>
    <t>Avalada por</t>
  </si>
  <si>
    <t>PERSONAL</t>
  </si>
  <si>
    <t xml:space="preserve">  Administracion General y Resto de sectores</t>
  </si>
  <si>
    <t xml:space="preserve">  Sector Asistencia social y dependencia</t>
  </si>
  <si>
    <t xml:space="preserve">  Sector Sanitario (personal que presta servicio en las Instituciones del Servicio Nacional de Salud</t>
  </si>
  <si>
    <t xml:space="preserve">  Educativo Universitario (personal que presta servicio en universidades)</t>
  </si>
  <si>
    <t xml:space="preserve">  Educativo no Universitario (personal que presta servicio en centros de la docencia no universitaria</t>
  </si>
  <si>
    <t xml:space="preserve">  Número total de efectivos</t>
  </si>
  <si>
    <t xml:space="preserve">  Número total de gastos</t>
  </si>
  <si>
    <t>II. DATOS DE PLANTILLAS Y RETRIBUCIONES DE UN DETERMINADO SECTOR</t>
  </si>
  <si>
    <t>III. GASTOS DISTRIBUIDOS POR GRUPOS DE PERSONAL</t>
  </si>
  <si>
    <t>Grupo de</t>
  </si>
  <si>
    <t>Órganos Gobierno</t>
  </si>
  <si>
    <t>Máximos responsables</t>
  </si>
  <si>
    <t>Resto personal directivo</t>
  </si>
  <si>
    <t>Laboral contrato indefinido</t>
  </si>
  <si>
    <t>Laboral duración determinada</t>
  </si>
  <si>
    <t>Otro personal</t>
  </si>
  <si>
    <t>Número de</t>
  </si>
  <si>
    <t>efectivos</t>
  </si>
  <si>
    <t>Sueldos y salarios</t>
  </si>
  <si>
    <t>(excepto variable)</t>
  </si>
  <si>
    <t>Variable</t>
  </si>
  <si>
    <t>Planes de</t>
  </si>
  <si>
    <t>Pensiones</t>
  </si>
  <si>
    <t xml:space="preserve">Otras </t>
  </si>
  <si>
    <t xml:space="preserve">I. SECTORES A CONSIDERAR. (Se cumplimentará un cuadro para cada uno de los sectores de actividad de la Entidad)    </t>
  </si>
  <si>
    <t>Total</t>
  </si>
  <si>
    <t>Retribuciones</t>
  </si>
  <si>
    <t>Retribuciones distribuidas por grupos</t>
  </si>
  <si>
    <t>IV. GASTOS COMUNES SIN DISTRIBUIR POR GRUPOS</t>
  </si>
  <si>
    <t xml:space="preserve">Total </t>
  </si>
  <si>
    <t>Acción social</t>
  </si>
  <si>
    <t>Seguridad Social</t>
  </si>
  <si>
    <t>V. OBSERVACIONES</t>
  </si>
  <si>
    <t>(Marcar con X)</t>
  </si>
  <si>
    <t>FC-14</t>
  </si>
  <si>
    <t>FC-15</t>
  </si>
  <si>
    <t>OPERACIONES INTERNAS</t>
  </si>
  <si>
    <t>VENTAS Y PRESTACIONES DE SERVICIOS PREVISTAS (IGIC Incluido)</t>
  </si>
  <si>
    <t>INSTRUCCIONES GENERALES</t>
  </si>
  <si>
    <r>
      <rPr>
        <b/>
        <sz val="12"/>
        <color theme="1"/>
        <rFont val="Arial"/>
        <family val="2"/>
      </rPr>
      <t>Todas los datos económicos deben expresarse en EUROS</t>
    </r>
    <r>
      <rPr>
        <sz val="12"/>
        <color theme="1"/>
        <rFont val="Arial"/>
        <family val="2"/>
      </rPr>
      <t>. No es válido introducir datos en miles de euros, ni millones de euros.</t>
    </r>
  </si>
  <si>
    <t>INGRESOS</t>
  </si>
  <si>
    <t>GASTOS</t>
  </si>
  <si>
    <t>CABILDO INSULAR DE TENERIFE</t>
  </si>
  <si>
    <t>O.A. DE MUSEOS Y CENTROS</t>
  </si>
  <si>
    <t>O.A. INST. INS. ATENCIÓN SOC. Y SOCIOSAN.</t>
  </si>
  <si>
    <t>O.A. PATRONATO INSULAR DE MUSICA</t>
  </si>
  <si>
    <t>O.A. CONSEJO INSULAR DE AGUAS</t>
  </si>
  <si>
    <t>EPEL. BALSAS DE TENERIFE</t>
  </si>
  <si>
    <t>EPEL AGROTEIDE ENTIDAD INSULAR DESARROLLO AGRICOLA Y GANADERO</t>
  </si>
  <si>
    <t>CASINO DE TAORO, SA</t>
  </si>
  <si>
    <t>CASINO DE PLAYA DE LAS AMÉRICAS, SA</t>
  </si>
  <si>
    <t>CASINO DE SANTA CRUZ, SA</t>
  </si>
  <si>
    <t>INSTIT.FERIAL DE TENERIFE, SA</t>
  </si>
  <si>
    <t>EMPRESA INSULAR DE ARTESANÍA, SA</t>
  </si>
  <si>
    <t>SINPROMI.S.L.</t>
  </si>
  <si>
    <t>AUDITORIO DE TENERIFE, SA</t>
  </si>
  <si>
    <t>GEST. INS. DEPORTE, CULT.Y OCIO, SA (IDECO)</t>
  </si>
  <si>
    <t>TITSA</t>
  </si>
  <si>
    <t>SPET, TURISMO DE TENERIFE, S.A.</t>
  </si>
  <si>
    <t>INSTITUTO MEDICO TINERFEÑO, S.A. (IMETISA)</t>
  </si>
  <si>
    <t>METROPOLITANO DE TENERIFE, S.A.</t>
  </si>
  <si>
    <t>INST. TECNOL. Y DE ENERGIAS RENOVABLES, S.A. (ITER)</t>
  </si>
  <si>
    <t>CULTIVOS Y TECNOLOGÍAS AGRARIAS DE TENERIFE, S.A (CULTESA)</t>
  </si>
  <si>
    <t>BUENAVISTA GOLF, S.A.</t>
  </si>
  <si>
    <t>PARQUE CIENTÍFICO Y TECNOLÓGICO DE TENERIFE, S.A.</t>
  </si>
  <si>
    <t>INSTITUTO TECNOLÓGICO Y DE COMUNICACIONES DE TENERIFE, S.L. (IT3)</t>
  </si>
  <si>
    <t>INSTITUTO VULCANOLÓGICO DE CANARIAS S.A.</t>
  </si>
  <si>
    <t>CANARIAS SUBMARINE LINK, S.L. (Canalink)</t>
  </si>
  <si>
    <t>CANALINK AFRICA, S.L.</t>
  </si>
  <si>
    <t>CANALINK BAHARICOM, S.L.</t>
  </si>
  <si>
    <t>GESTIÓN INSULAR DE AGUAS DE TENERIFE, S.A. (GESTA)</t>
  </si>
  <si>
    <t>FUNDACION TENERIFE RURAL</t>
  </si>
  <si>
    <t>FUNDACIÓN  ITB</t>
  </si>
  <si>
    <t>FIFEDE</t>
  </si>
  <si>
    <t>AGENCIA INSULAR DE LA ENERGIA</t>
  </si>
  <si>
    <t>FUNDACIÓN CANARIAS FACTORÍA DE LA INNOVACIÓN TURÍSTICA</t>
  </si>
  <si>
    <t>CONSORCIO PREVENSIÓN, EXTINCIÓN INCENDIOS Y SALVAMENTO DE LA ISLA DE TENERIFE</t>
  </si>
  <si>
    <t>CONSORCIO DE TRIBUTOS DE LA ISLA DE TENERIFE</t>
  </si>
  <si>
    <t>CONSORCIO ISLA BAJA</t>
  </si>
  <si>
    <t>CONSORCIO URBANÍSTICO PARA LA REHABILITACIÓN DEL PTO. DE LA CRUZ</t>
  </si>
  <si>
    <t>A.M.C. POLÍGONO INDUSTRIAL DE GÜIMAR</t>
  </si>
  <si>
    <t>MERCATENERIFE, S.A.</t>
  </si>
  <si>
    <t>POLÍGONO INDUSTRIAL DE GRANADILLA-PARQUE TECNOLÓGICO DE TENERIFE, S.A.</t>
  </si>
  <si>
    <t>PARQUES EÓLICOS DE GRANADILLA, A.I.E.</t>
  </si>
  <si>
    <t>EÓLICAS DE TENERIFE, A.I.E.</t>
  </si>
  <si>
    <t>Deberá informarse en la memoria de actividades sobre la naturaleza de las operaciones que se prevé realizar y a qué grupo de función pertenece.</t>
  </si>
  <si>
    <t>Importe anualidad</t>
  </si>
  <si>
    <t>Duración</t>
  </si>
  <si>
    <t>( +/- ) Importe</t>
  </si>
  <si>
    <t>contemplado</t>
  </si>
  <si>
    <t>Informe Evaluación</t>
  </si>
  <si>
    <t>Observaciones</t>
  </si>
  <si>
    <t>CAPACIDAD / NECESIDAD DE FINANCIACIÓN DE LA ENTIDAD (Calculada conforme a las normas del Sistema Europeo de Cuentas)</t>
  </si>
  <si>
    <t>I. Ingresos a efectos de Contabilidad Nacional</t>
  </si>
  <si>
    <t>Importe Neto Cifra Negocios</t>
  </si>
  <si>
    <t>Trabajos previstos realizar por la empresa para su activo</t>
  </si>
  <si>
    <t>Ingresos accesorios y otros de la gestión corriente</t>
  </si>
  <si>
    <t>Subvenciones y Transferencias corrientes</t>
  </si>
  <si>
    <t>Ingresos Financieros por intereses</t>
  </si>
  <si>
    <t>Ingresos de participaciones en instrumentos de patrimonio (dividendos)</t>
  </si>
  <si>
    <t>Ingresos excepcionales</t>
  </si>
  <si>
    <t>Subvenciones de capital previsto recibir</t>
  </si>
  <si>
    <t>II. Gastos a efectos de Contabilidad Nacional</t>
  </si>
  <si>
    <t>Gtos. de Personal</t>
  </si>
  <si>
    <t>Gtos. Financieros y asimilados</t>
  </si>
  <si>
    <t>Impuesto de Sociedades</t>
  </si>
  <si>
    <t>Otros impuestos</t>
  </si>
  <si>
    <t>Gtos. Excepcionales</t>
  </si>
  <si>
    <t>Variaciones del Inmovilizado material e intangible; de inversiones inmobiliarias; de existencias</t>
  </si>
  <si>
    <t>Variación de existencias de productos terminados y en curso de fabricación de la cuenta de PyG (1)</t>
  </si>
  <si>
    <t xml:space="preserve">Capacidad / Necesidad de financiación de la entidad (Sistema Europeo Cuentas)    -     ( I + II ) </t>
  </si>
  <si>
    <t>FUENTES DE FINANCIACIÓN</t>
  </si>
  <si>
    <t>%</t>
  </si>
  <si>
    <t>1. Ventas de bienes y prestaciones de servicios dentro del sector público</t>
  </si>
  <si>
    <t>a.</t>
  </si>
  <si>
    <t>b.</t>
  </si>
  <si>
    <t>c.</t>
  </si>
  <si>
    <t>A la Entidad Local o a sus unidades dependientes</t>
  </si>
  <si>
    <t>A otras administraciones públicas</t>
  </si>
  <si>
    <t>A empresas y entes públicos</t>
  </si>
  <si>
    <t>2. Ventas de bienes y prestaciones de servicios dentro al sector privado</t>
  </si>
  <si>
    <t>3. Transferencias y subvenciones recibidas</t>
  </si>
  <si>
    <t>De la Entidad Local o a sus unidades dependientes</t>
  </si>
  <si>
    <t>De la Unión Europea</t>
  </si>
  <si>
    <t>De otras administraciones y entes públicos</t>
  </si>
  <si>
    <t>4. Otros ingresos (especificar en su caso)</t>
  </si>
  <si>
    <t>TOTAL ( 1 + 2 + 3 + 4 )</t>
  </si>
  <si>
    <t>ESTRUCTURA PRESUPUESTARIA  -  ESTADO DE PREVISIÓN DE INGRESOS Y GASTOS</t>
  </si>
  <si>
    <t>Impuestos directos</t>
  </si>
  <si>
    <t>Impuestos indirectos</t>
  </si>
  <si>
    <t>Tasas y otros ingresos</t>
  </si>
  <si>
    <t>Transferencias corrientes</t>
  </si>
  <si>
    <t>Ingresos patrimoniales</t>
  </si>
  <si>
    <t xml:space="preserve">  Total Ingresos Corrientes</t>
  </si>
  <si>
    <t>Enajenación de inversiones</t>
  </si>
  <si>
    <t>Transferencias de capital</t>
  </si>
  <si>
    <t xml:space="preserve">  Total Ingresos de Capital</t>
  </si>
  <si>
    <t>Activos financieros</t>
  </si>
  <si>
    <t>Pasivos financieros</t>
  </si>
  <si>
    <t xml:space="preserve">  Total Ingresos Financieros</t>
  </si>
  <si>
    <t xml:space="preserve">  TOTAL INGRESOS</t>
  </si>
  <si>
    <t xml:space="preserve">  Otros ingresos de la cuenta de pérdidas y ganancias</t>
  </si>
  <si>
    <t>Capítulos Ingresos</t>
  </si>
  <si>
    <t>Capítulos Gastos</t>
  </si>
  <si>
    <t>Gastos de Personal</t>
  </si>
  <si>
    <t>Compra de Bienes y Servicios</t>
  </si>
  <si>
    <t>Transferencias Corrientes</t>
  </si>
  <si>
    <t xml:space="preserve">  Total Gastos Corrientes</t>
  </si>
  <si>
    <t>Inversiones Reales</t>
  </si>
  <si>
    <t xml:space="preserve">  Total Gastos de Capital</t>
  </si>
  <si>
    <t xml:space="preserve">  Total Gastos Financieros</t>
  </si>
  <si>
    <t xml:space="preserve">  TOTAL GASTOS</t>
  </si>
  <si>
    <t xml:space="preserve">  Otros gastos de la cuenta de pérdidas y ganancias</t>
  </si>
  <si>
    <t>INFORMACIÓN ADICIONAL RELATIVA A LA CUENTA DE PÉRDIDAS Y GANANCIAS</t>
  </si>
  <si>
    <t>Sin incluir Igic</t>
  </si>
  <si>
    <t>Igic Facturado</t>
  </si>
  <si>
    <t>A.- A la Corporación Local (CL):</t>
  </si>
  <si>
    <t>A.1.- Ventas:</t>
  </si>
  <si>
    <t>A.2.- Prestaciones de servicios:</t>
  </si>
  <si>
    <t>B.- A Organismos y Entes Dependientes de la CL:</t>
  </si>
  <si>
    <t>C.- Resto de Ventas y Prestaciones de servicios:</t>
  </si>
  <si>
    <t>C.1.- A otras AA PP</t>
  </si>
  <si>
    <t>C.2.- Sector Privado</t>
  </si>
  <si>
    <t>C.2.1.- Ventas</t>
  </si>
  <si>
    <t>C.2.2.- Prestaciones de servicios</t>
  </si>
  <si>
    <t>TOTAL IMPORTE NETO CIFRA NEGOCIOS:</t>
  </si>
  <si>
    <t>INGRESOS Y GASTOS EXCEPCIONALES</t>
  </si>
  <si>
    <t>IMPUESTO SOBRE SOCIEDADES</t>
  </si>
  <si>
    <t>Retenciones y pagos a cuenta del ejercicio</t>
  </si>
  <si>
    <t>Cuota líquida a ingresar (+) o a devolver (-) del ejercicio anterior</t>
  </si>
  <si>
    <t>I. VENTAS Y PRESTACIONES DE SERVICIOS (1)</t>
  </si>
  <si>
    <t>Activo = Pasivo y patrimonio neto</t>
  </si>
  <si>
    <t>Balance de Situación, Activo - Pasivo y Patrimonio Neto</t>
  </si>
  <si>
    <t>Rtdo. Ejercicio PN = Rtdo. PyG</t>
  </si>
  <si>
    <t>Aumento/disminución neta efectivo = variación efectivo</t>
  </si>
  <si>
    <t>Inmovilizado material = Detalle de movimientos (FC-7)</t>
  </si>
  <si>
    <t>Inmovilizado intangible = Detalle de movimientos (FC-7)</t>
  </si>
  <si>
    <t>Inversiones inmobiliarias = Detalle de movimientos (FC-7)</t>
  </si>
  <si>
    <t xml:space="preserve"> </t>
  </si>
  <si>
    <t>x</t>
  </si>
  <si>
    <t>Retribución</t>
  </si>
  <si>
    <t>Número total</t>
  </si>
  <si>
    <t>Designados por el sector público</t>
  </si>
  <si>
    <t>Designados por el sector privado</t>
  </si>
  <si>
    <t>Presidencia</t>
  </si>
  <si>
    <t>Vicepresidencia</t>
  </si>
  <si>
    <t>Secretaría</t>
  </si>
  <si>
    <t>Vicesecretaría</t>
  </si>
  <si>
    <t>Gerencia</t>
  </si>
  <si>
    <t>Fecha</t>
  </si>
  <si>
    <t>Vencimiento</t>
  </si>
  <si>
    <t>Saldo 31-12</t>
  </si>
  <si>
    <t>corto plazo</t>
  </si>
  <si>
    <t>largo plazo</t>
  </si>
  <si>
    <r>
      <t>FC-</t>
    </r>
    <r>
      <rPr>
        <sz val="12"/>
        <color theme="1"/>
        <rFont val="Arial"/>
        <family val="2"/>
      </rPr>
      <t>14</t>
    </r>
  </si>
  <si>
    <r>
      <t>FC-</t>
    </r>
    <r>
      <rPr>
        <sz val="12"/>
        <color theme="1"/>
        <rFont val="Arial"/>
        <family val="2"/>
      </rPr>
      <t>15</t>
    </r>
  </si>
  <si>
    <r>
      <t>FC-</t>
    </r>
    <r>
      <rPr>
        <sz val="12"/>
        <color theme="1"/>
        <rFont val="Arial"/>
        <family val="2"/>
      </rPr>
      <t>16</t>
    </r>
  </si>
  <si>
    <r>
      <t>FC-</t>
    </r>
    <r>
      <rPr>
        <sz val="12"/>
        <color theme="1"/>
        <rFont val="Arial"/>
        <family val="2"/>
      </rPr>
      <t>17</t>
    </r>
  </si>
  <si>
    <r>
      <t>Deuda a</t>
    </r>
    <r>
      <rPr>
        <sz val="12"/>
        <color theme="1"/>
        <rFont val="Arial"/>
        <family val="2"/>
      </rPr>
      <t xml:space="preserve"> corto y</t>
    </r>
    <r>
      <rPr>
        <sz val="12"/>
        <color theme="1"/>
        <rFont val="Arial"/>
        <family val="2"/>
      </rPr>
      <t xml:space="preserve"> largo plazo</t>
    </r>
  </si>
  <si>
    <t>FC-4 - ACTIVO</t>
  </si>
  <si>
    <t>FC-4 - PASIVO Y PATRIMONIO NETO</t>
  </si>
  <si>
    <t>OBSERVACIONES Y NOTAS DE LA ENTIDAD</t>
  </si>
  <si>
    <t>Disposición Capital</t>
  </si>
  <si>
    <t>OTROS INGRESOS DE EXPLOTACIÓN</t>
  </si>
  <si>
    <t>a) Ingresos accesorios y otros de gestión corriente</t>
  </si>
  <si>
    <t xml:space="preserve">   a.1. Resultados de operaciones en común</t>
  </si>
  <si>
    <t xml:space="preserve">   a.2. Ingresos arrendamientos y pro. Industrial cedida en explotación</t>
  </si>
  <si>
    <t xml:space="preserve">   a.3. Ingresos por comisiones, servicios al personal y servicios diversos</t>
  </si>
  <si>
    <t xml:space="preserve">   b.1. Estado</t>
  </si>
  <si>
    <t xml:space="preserve">   b.2. Comunidad autónoma</t>
  </si>
  <si>
    <t xml:space="preserve">   b.3. Corporaciones locales</t>
  </si>
  <si>
    <t xml:space="preserve">   b.4. Cabildo Insular de Tenerife</t>
  </si>
  <si>
    <t xml:space="preserve">   b.6. Imputación de subvenciones de explotac. de ejercicios anteriores</t>
  </si>
  <si>
    <t>b) Subvenc. explotación incorporadas al resultado del ejercicio</t>
  </si>
  <si>
    <t>1. Obligaciones y otros valores negociables (-)</t>
  </si>
  <si>
    <t>2. Deudas con entidades de crédito (-)</t>
  </si>
  <si>
    <t>3. Deudas con empresas del grupo y asociadas (-)</t>
  </si>
  <si>
    <t>4. Deudas con características especiales (-)</t>
  </si>
  <si>
    <t>5. Otras deudas (-)</t>
  </si>
  <si>
    <r>
      <t>c) Adquisición de instrumentos de patrimonio propio (</t>
    </r>
    <r>
      <rPr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>)</t>
    </r>
  </si>
  <si>
    <t>Existencias finales = Detalle de movimientos (FC-7)</t>
  </si>
  <si>
    <t>Dotaciones a la amortización PyG = Detalle de movimientos (FC-7)</t>
  </si>
  <si>
    <t>(7) % PARTICIPACION: porcentaje total de participación que, al final del ejercicio, la entidad posee en la sociedad.</t>
  </si>
  <si>
    <t>Subvenciones capital en balance = dato en FC-9</t>
  </si>
  <si>
    <t>Subvenciones explotación en PyG = dato en FC-9</t>
  </si>
  <si>
    <t>I.2. SUBVENCIONES DE EXPLOTACIÓN.</t>
  </si>
  <si>
    <t>II. APORTACIONES DE SOCIOS.</t>
  </si>
  <si>
    <t>Cabildo (2)</t>
  </si>
  <si>
    <t>Gastos de personal en PyG = desglose en FC-13</t>
  </si>
  <si>
    <t>DEUDAS A CORTO Y LARGO PLAZO</t>
  </si>
  <si>
    <r>
      <t xml:space="preserve">   b.5. Otros entes</t>
    </r>
    <r>
      <rPr>
        <sz val="12"/>
        <color theme="1"/>
        <rFont val="Arial"/>
        <family val="2"/>
      </rPr>
      <t xml:space="preserve"> (U.E.)</t>
    </r>
  </si>
  <si>
    <t>(1) Este saldo aparecerá como mayor gasto en caso de reducción de existencias (-) y como menor gasto en caso de incremento (+)</t>
  </si>
  <si>
    <t>Importe neto de la cifra de negocios (Detalle en FC-3.1)</t>
  </si>
  <si>
    <t>Inversiones reales: Coste total = ejecución prevista 31-12-(n-1) + programación plurianual (FC-6)</t>
  </si>
  <si>
    <t>Importe neto de la cifra de negocios = detalle en FC-3.1</t>
  </si>
  <si>
    <t>Otros ingresos de explotación (Detalle en FC-3.1)</t>
  </si>
  <si>
    <t>Otros resultados (Detalle en FC-3.1)</t>
  </si>
  <si>
    <t>Otros resultados PyG = detalle gastos e ingresos extraordinarios en FC-3.1</t>
  </si>
  <si>
    <t>Ingresos accesorios PyG = detalle ingresos accesorios en FC-3.1</t>
  </si>
  <si>
    <t>Subvenc. Explotación PyG = detalle Subv. en FC-3.1</t>
  </si>
  <si>
    <t>Clase</t>
  </si>
  <si>
    <t>Nº Acciones / Participaciones</t>
  </si>
  <si>
    <t>Avalado por</t>
  </si>
  <si>
    <t>Variaciones producidas o previsibles en</t>
  </si>
  <si>
    <t xml:space="preserve">Datos a 31 de diciembre de </t>
  </si>
  <si>
    <t>Incremento en la participación (Euros)</t>
  </si>
  <si>
    <t>Reducciones en la participación (Euros)</t>
  </si>
  <si>
    <r>
      <rPr>
        <b/>
        <i/>
        <sz val="14"/>
        <color theme="1"/>
        <rFont val="Arial"/>
        <family val="2"/>
      </rPr>
      <t>"SUBVENCIONES"</t>
    </r>
    <r>
      <rPr>
        <b/>
        <sz val="14"/>
        <color theme="1"/>
        <rFont val="Arial"/>
        <family val="2"/>
      </rPr>
      <t xml:space="preserve"> CONCEDIDAS y TRANSFERENCIAS A REALIZAR POR LA ENTIDAD REGISTRADAS COMO GASTO EN LA CUENTA DE PÉRDIDAS Y GANANCIAS</t>
    </r>
  </si>
  <si>
    <t>Contable GASTO</t>
  </si>
  <si>
    <r>
      <t xml:space="preserve">   a.1.</t>
    </r>
    <r>
      <rPr>
        <sz val="12"/>
        <color theme="1"/>
        <rFont val="Arial"/>
        <family val="2"/>
      </rPr>
      <t xml:space="preserve"> Al sector público local de carácter administrativo</t>
    </r>
  </si>
  <si>
    <t xml:space="preserve">   a.2. Al sector público local de carácter empresarial o fundacional</t>
  </si>
  <si>
    <r>
      <t xml:space="preserve">   a.3</t>
    </r>
    <r>
      <rPr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 xml:space="preserve"> A otros</t>
    </r>
  </si>
  <si>
    <t>a) Total</t>
  </si>
  <si>
    <t>NOTAS:</t>
  </si>
  <si>
    <t xml:space="preserve">(1)  Se incluiran todos los proyectos de inversión que se estén realizando en el ejercicio </t>
  </si>
  <si>
    <t>, así como los que está previsto realizar en los tres ejercicios siguientes.</t>
  </si>
  <si>
    <t xml:space="preserve">       Aquellos proyectos de inversión cuyos importe sean de escasa importancia en relación al volumen total de inversiones, podrán agruparse en uno o varios proyectos genéricos</t>
  </si>
  <si>
    <t>INVERSIONES REALES (1)</t>
  </si>
  <si>
    <t>Coste total (2)</t>
  </si>
  <si>
    <t xml:space="preserve">(2)  El coste total de cada inversión se desglosará entre el importe que se prevé ejecutar hasta    31 / dic / </t>
  </si>
  <si>
    <t>, y la programación plurianual</t>
  </si>
  <si>
    <t>(3)  Estimación de los importes de inversión que se ejecutarán en cada uno de los ejercicios.</t>
  </si>
  <si>
    <t>Programación Plurianual (3)</t>
  </si>
  <si>
    <t>(4)</t>
  </si>
  <si>
    <t>, desglosandolos por los ejercicios en los que se prevé realizar la inversión.</t>
  </si>
  <si>
    <r>
      <t xml:space="preserve">(4)  Se detallarán los importes comprometidos, es decir, las inversiones que estén </t>
    </r>
    <r>
      <rPr>
        <b/>
        <u/>
        <sz val="12"/>
        <rFont val="Arial"/>
        <family val="2"/>
      </rPr>
      <t>adjudicadas</t>
    </r>
    <r>
      <rPr>
        <sz val="12"/>
        <color theme="1"/>
        <rFont val="Arial"/>
        <family val="2"/>
      </rPr>
      <t xml:space="preserve"> a 31 / dic /</t>
    </r>
  </si>
  <si>
    <t>Programación plurianual (año n) en FC-6 = Adquisiciones (año n) en FC-7</t>
  </si>
  <si>
    <t>( n-1 )</t>
  </si>
  <si>
    <t>( n-2 )</t>
  </si>
  <si>
    <t>( n )</t>
  </si>
  <si>
    <t>Otra entidad (3)</t>
  </si>
  <si>
    <t>(3) Indicar la entidad, distinta del Excmo. Cabildo Insular de Tenerife que avala la operación</t>
  </si>
  <si>
    <t xml:space="preserve">(1)  SALDO INICIAL: Saldo del valor neto contable recogido en balance a 1 de enero del ejercicio al que esté referido el período </t>
  </si>
  <si>
    <t>(2)  ADQUISICIONES: El importe facturado por el proveedor y otros importes (portes ...) incorporados como mayor valor del activo, salvo los recogidos en las columnas (3) y (4).</t>
  </si>
  <si>
    <t>(3)  PROVISIÓN POR DESMANTELAMIENTO: Se reflejará, con signo positivo o negativo según proceda, el importe de la provisión por desmantelamiento y las posteriores correcciones a la misma dotadas como mayor (o menor) valor del inmovilizado.</t>
  </si>
  <si>
    <t>(4)  INTERESES CAPITALIZADOS: Se reflejará, con signo positivo, el importe de los intereses incorporados como mayor valor del activo.</t>
  </si>
  <si>
    <t>(6)  DETERIORO O REVERSIÓN DEL DETERIORO: se reflejará, con signo negativo, el deterioro contabilizado en el ejercicio. Con signo positivo figurarán los excesos de deterioro que se produzcan.</t>
  </si>
  <si>
    <t>(7)  VENTAS: recoge el valor neto contable de las activos enajenados.</t>
  </si>
  <si>
    <t>(8)  OTRAS VARIACIONES: deben reflejarse el resto de variaciones, distintas de las anteriores, que impliquen un mayor o menor valor de las activos.</t>
  </si>
  <si>
    <t>(9)  SALDO FINAL: Saldo recogido en balance a 31 de diciembre del ejercicio al que está referidas las cuentas anuales.</t>
  </si>
  <si>
    <t>(5)  AMORTIZACIÓN DEL EJERCICIO: se reflejará, con signo negativo, el importe de la amortización dotada en el ejercicio. En su caso, con signo positivo, las correcciones a la amortización acumulada</t>
  </si>
  <si>
    <t>Participación (2)</t>
  </si>
  <si>
    <t>OBSERVACIONES (3)</t>
  </si>
  <si>
    <t>(6) INVERSIONES: Inclyue las inversiones financieras, tanto a largo como a corto plazo, que la entidad realiza en entidades QUE NO SON del grupo NI asociadas con independencia de que la empresa tenga la intención de venderlos en el corto plazo.</t>
  </si>
  <si>
    <t>Participación (7)</t>
  </si>
  <si>
    <t>OBSERVACIONES (8)</t>
  </si>
  <si>
    <r>
      <t xml:space="preserve">(2) Se especificará si la operación está avalada por el Cabildo </t>
    </r>
    <r>
      <rPr>
        <b/>
        <sz val="10"/>
        <color theme="1"/>
        <rFont val="Arial"/>
        <family val="2"/>
      </rPr>
      <t>(si/no)</t>
    </r>
  </si>
  <si>
    <t>B.1.- Ventas: (detallar)</t>
  </si>
  <si>
    <t>B.2.- Prestaciones de servicios: (detallar)</t>
  </si>
  <si>
    <t>C.1.1.- Ventas: (detallar)</t>
  </si>
  <si>
    <t>C.1.2.- Prestaciones de servicios: (detallar)</t>
  </si>
  <si>
    <t>(3) 678. Gastos Excepcionales: Pérdidas y gastos de carácter excepcional y cuantía significativa que, atendiendo a su naturaleza, no deban contabilizarse en otras cuentas del grupo 6. A título indicativo se señalan los siguientes: los producidos por inundaciones, sanciones y multas, incendios...etc. (CIFRAS EN NEGATIVO)</t>
  </si>
  <si>
    <t>Efectivo o equivalentes al comienzo del ejercicio  (1)</t>
  </si>
  <si>
    <r>
      <rPr>
        <sz val="10"/>
        <color theme="1"/>
        <rFont val="Arial"/>
        <family val="2"/>
      </rPr>
      <t xml:space="preserve">(1) Los datos están referenciados al Activo del Balance de Situación, excepto el dato inicial del periodo n-2 que </t>
    </r>
    <r>
      <rPr>
        <b/>
        <u/>
        <sz val="10"/>
        <color theme="1"/>
        <rFont val="Arial"/>
        <family val="2"/>
      </rPr>
      <t>debe indicarse manualmente en la celda F94</t>
    </r>
  </si>
  <si>
    <t>Inversiones en instrumentos patrimonio CP+LP (grupo y asociadas) = detalle en FC-8</t>
  </si>
  <si>
    <t>Inversiones en instrumentos patrimonio CP + LP (otras) = detalle en FC-8</t>
  </si>
  <si>
    <t>Resto Inversiones financieras (grupo y asociadas) = detalle en FC-8</t>
  </si>
  <si>
    <t>Resto Inversiones financieras (otras) = detalle en FC-8</t>
  </si>
  <si>
    <r>
      <t>Aportaciones patrimoniales</t>
    </r>
    <r>
      <rPr>
        <sz val="12"/>
        <color theme="1"/>
        <rFont val="Arial"/>
        <family val="2"/>
      </rPr>
      <t xml:space="preserve"> (Aumento de capital + aportaciones de socios)</t>
    </r>
  </si>
  <si>
    <t xml:space="preserve"> Listado de comprobaciones (CHECK LIST)</t>
  </si>
  <si>
    <t>º</t>
  </si>
  <si>
    <t>EPEL TEA, TENERFE ESPACIO DE LAS ARTES</t>
  </si>
  <si>
    <t xml:space="preserve">ENTIDADES CON PARTICIPACIÓN MINORITARIA EN EL CAPITAL SOCIAL PERO QUE FORMAN PARTE DEL SECTOR PÚBLICO INSULAR </t>
  </si>
  <si>
    <t>Descripción</t>
  </si>
  <si>
    <t>Subvención</t>
  </si>
  <si>
    <t>SUBVENCIONES Y TRANSFERENCIAS (1)</t>
  </si>
  <si>
    <t>NOTAS ACLARATORIAS DE LA ENTIDAD</t>
  </si>
  <si>
    <t>NOTA:</t>
  </si>
  <si>
    <t xml:space="preserve">      otorgar dichas subvenciones. Es decir, la información y su clasificación por ejercicios económicos vendrá dada por el criterio contable de la administración pública otorgante. Si ambos criterios son coincidentes se pondrán idénticas cifras.</t>
  </si>
  <si>
    <t xml:space="preserve">      de la subvención.</t>
  </si>
  <si>
    <t>DATOS SEGÚN CRITERIOS CONTABILIDAD ENTIDAD (4)</t>
  </si>
  <si>
    <t>DATOS SEGÚN CRITERIOS ECIT y OTRAS ADM. PÚBLICAS (5)</t>
  </si>
  <si>
    <t>DATOS SEGÚN CRITERIOS CONTABILIDAD ENTIDAD (6)</t>
  </si>
  <si>
    <t>DATOS SEGÚN CRITERIOS ECIT y OTRAS ADM. PÚBLICAS (7)</t>
  </si>
  <si>
    <t xml:space="preserve">       pública que otorgara la subvención y la entidad/sociedad son coincidentes, deben indicarse idénticas cifras en ambos cuadros.</t>
  </si>
  <si>
    <t xml:space="preserve">       indicarse idénticas cifras en ambos cuadros.</t>
  </si>
  <si>
    <t xml:space="preserve">      importe total de la ampliación de capital + prima de emisión.</t>
  </si>
  <si>
    <r>
      <t xml:space="preserve">      En las notas siguientes, cuando se refiere a</t>
    </r>
    <r>
      <rPr>
        <b/>
        <sz val="9"/>
        <color theme="1"/>
        <rFont val="Arial"/>
        <family val="2"/>
      </rPr>
      <t xml:space="preserve"> importes estimados</t>
    </r>
    <r>
      <rPr>
        <sz val="9"/>
        <color theme="1"/>
        <rFont val="Arial"/>
        <family val="2"/>
      </rPr>
      <t xml:space="preserve"> son los correspondientes a:</t>
    </r>
  </si>
  <si>
    <r>
      <t>Cuando se refiere a</t>
    </r>
    <r>
      <rPr>
        <b/>
        <sz val="9"/>
        <color theme="1"/>
        <rFont val="Arial"/>
        <family val="2"/>
      </rPr>
      <t xml:space="preserve"> importes previsibles</t>
    </r>
    <r>
      <rPr>
        <sz val="9"/>
        <color theme="1"/>
        <rFont val="Arial"/>
        <family val="2"/>
      </rPr>
      <t xml:space="preserve"> son los correspondientes a:</t>
    </r>
  </si>
  <si>
    <t>(1) Se incluiran en este cuadro todas las aportaciones y subvenciones recibidos del Excmo. Cabildo Insular de Tenerife y de cualquier otras administración pública ó ente privado. Debe detallarse cada subvención o aportación de forma nominativa.</t>
  </si>
  <si>
    <t xml:space="preserve">      (efecto impositivo clasificado  en el pasivo del balance en el epígrafe B) IV) . El saldo final de esta partida debe cuadrar con la indicada en el epígrafe A3 del patrimonio neto del balance estimado y previsto.</t>
  </si>
  <si>
    <t xml:space="preserve">(2) Se deben incluir los movimientos contables en la entidad/sociedad, estimados y previsibles, correspondientes a las subvenciones de capital registradas en las cuentas 130,131 y 132, y de forma separada. su efecto impositivo registrado en la cuenta 479 </t>
  </si>
  <si>
    <t xml:space="preserve">(3) Se deben incluir de forma detallada todas las subvenciones de capital otorgadas por el Excmo. Cabildo Insular de Tenerife y cualquier otra administración pública, clasificando el importe según el año en que dichas administraciones estimen o prevean </t>
  </si>
  <si>
    <t>(4) Importes estimados y previsibles a registrar por la entidad en la cuenta contable 740. Subvenciones, donaciones y legados de explotación. El importe total debe coincidir con las cifras del epígrafe 5.b de la cuenta de pérdidas y ganancias</t>
  </si>
  <si>
    <t>(6) Se indicarán los importes de las aportaciones de socios estimadas y previsibles que se registran en la cuenta contable 118 y que se recogen en el epígrafe A1) VI. del patrimonio neto del balance.</t>
  </si>
  <si>
    <t>(8) Emisión de instrumentos de patrimonio. Se refiere a aumentos de capital adicionándole, en su caso, los importes de las primas de emisión estimadas o previsibles. Deben detallarse los suscriptores de dicho aumento, ascendiendo su total al</t>
  </si>
  <si>
    <r>
      <t>III. EMISIÓN DE INSTRUMENTOS DE PATRIMONIO PROPIO.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(8)</t>
    </r>
  </si>
  <si>
    <t>TOTAL EMISIÓN</t>
  </si>
  <si>
    <t xml:space="preserve">      Como ejemplo se incluiran en este bloque las subvenciones de capital otorgadas a la entidad que no se han contabilizado en las cuentas de Patrimonio Neto de la entidad/sociedad, a la espera de que se verifiquen las condiciones</t>
  </si>
  <si>
    <r>
      <t xml:space="preserve">(7) Se indicarán los importes de las </t>
    </r>
    <r>
      <rPr>
        <sz val="9"/>
        <rFont val="Arial"/>
        <family val="2"/>
      </rPr>
      <t>aportaciones genéricas</t>
    </r>
    <r>
      <rPr>
        <sz val="9"/>
        <color theme="1"/>
        <rFont val="Arial"/>
        <family val="2"/>
      </rPr>
      <t xml:space="preserve"> estimadas y previsibles otorgadas por el Excmo. Cabildo Insular de Tenerife (Anexo III) o cualquier otro socio, de acuerdo a su criterio de imputación contable. Si los criterios son coincidentes, deben</t>
    </r>
  </si>
  <si>
    <t>(5) Se indicaran los importes de las subvenciones de explotación estimadas o previsibles otorgadas por el Excmo. Cabildo Insular de Tenerife (Anexo IV) y otros organismos de acuerdo a sus criterios de imputación contable. Si los criterios de la administración</t>
  </si>
  <si>
    <t>Esta hoja se cumplimentará con los mismos datos que resulten de la hoja 'Resumen Personal' del fichero "Desglose gastos personal".</t>
  </si>
  <si>
    <t>NOTA</t>
  </si>
  <si>
    <r>
      <t xml:space="preserve">DETALLE DE INGRESOS (Cta 778) (2).   Cifras en </t>
    </r>
    <r>
      <rPr>
        <b/>
        <u/>
        <sz val="12"/>
        <color theme="1"/>
        <rFont val="Arial"/>
        <family val="2"/>
      </rPr>
      <t>positivo</t>
    </r>
  </si>
  <si>
    <r>
      <t xml:space="preserve">DETALLE DE GASTOS (Cta 678) (3).     Cifras en </t>
    </r>
    <r>
      <rPr>
        <b/>
        <u/>
        <sz val="12"/>
        <color theme="1"/>
        <rFont val="Arial"/>
        <family val="2"/>
      </rPr>
      <t>negativo</t>
    </r>
  </si>
  <si>
    <t>Imputación de subvenciones capital en PyG (FC-3) = detalle de imputación en FC-9</t>
  </si>
  <si>
    <t>Cuenta 479</t>
  </si>
  <si>
    <t>Importe total concedido</t>
  </si>
  <si>
    <t>DATOS SEGÚN CRITERIOS ECIT</t>
  </si>
  <si>
    <t>y OTRAS ADM. PÚBLICAS (3)</t>
  </si>
  <si>
    <t>DATOS SEGÚN CRITERIOS DE CONTABILIDAD DE LA ENTIDAD (2)</t>
  </si>
  <si>
    <t>Ctas. 130-131-132</t>
  </si>
  <si>
    <t>I. OPERACIONES DE CRÉDITO A CORTO y LARGO PLAZO (1)</t>
  </si>
  <si>
    <t>II. OTROS PASIVOS FINANCIEROS A CORTO y LARGO PLAZO (1)</t>
  </si>
  <si>
    <t>otorgante</t>
  </si>
  <si>
    <t>III. DEUDAS CON EMPRESAS DEL GRUPO A CORTO Y LARGO PLAZO (1)</t>
  </si>
  <si>
    <t>(PyG)</t>
  </si>
  <si>
    <t>(Balance)</t>
  </si>
  <si>
    <t>A) 1. Importe neto de la cifra de negocios</t>
  </si>
  <si>
    <t>Otros ingresos de explotación. a.1. Resultados de operaciones en común.</t>
  </si>
  <si>
    <t>Otros ingresos de explotación. a. 3. Ingresos por comisiones, servicios al personal y servicios diversos</t>
  </si>
  <si>
    <t>Anticipos</t>
  </si>
  <si>
    <t>5. b) Subvenciones de explotación incorporadas al resultado del ejercicio</t>
  </si>
  <si>
    <t>Total aportaciones de socios</t>
  </si>
  <si>
    <t>Otros ingresos de explotación. a. 2. Ingresos arrendamientos y propied. Industrial cedida explotación</t>
  </si>
  <si>
    <t>14. a) Ingresos financieros. De participaciones en instrumentos de patrimonio</t>
  </si>
  <si>
    <t>14. b) Ingresos financieros. De valores negociables y otros instrumentos financieros</t>
  </si>
  <si>
    <t>19. b) Otros ingresos y gastos de carácter financiero. Ingresos derivados de convenios de acreedores</t>
  </si>
  <si>
    <t>19. c) Otros ingresos y gastos de carácter financiero. Resto de ingresos y gastos</t>
  </si>
  <si>
    <t>Ventas de inmoviilizado e inversiones inmobiliarias (celda K31)</t>
  </si>
  <si>
    <t>Ojo, solo vincula la baja del coste, no la pérdida o beneficio</t>
  </si>
  <si>
    <t>Enajenaciones o reembolsos. Inversiones empresas grupo y asociadas. Inversiones inst. patrimonio (celda H25)</t>
  </si>
  <si>
    <t>Enajenaciones o reembolsos. Inversiones empresas grupo y asociadas. Resto inversiones (celda H34)</t>
  </si>
  <si>
    <t>Enajenaciones o reembolsos. Inversiones en otras empresas. Inversiones inst. patrimonio (celda H49)</t>
  </si>
  <si>
    <t>Enajenaciones o reembolsos. Inversiones en otras empresas. Resto inversiones (celda H58)</t>
  </si>
  <si>
    <t>Disposiciones de capital de obligaciones y otros valores negociables (A largo y a corto plazo)</t>
  </si>
  <si>
    <t>Disposiciones de capital de otros pasivos financieros (A largo y a corto plazo)</t>
  </si>
  <si>
    <t xml:space="preserve">Disposiciones de deudas con empresas del grupo a largo plazo y a corto plazo </t>
  </si>
  <si>
    <t>Disposiciones de deudas con características especiales a largo plazo y a corto plazo</t>
  </si>
  <si>
    <t xml:space="preserve">  TOTAL INGRESOS PRESUPUESTARIOS</t>
  </si>
  <si>
    <t>2. Variación de existencias de productos terminados y en curso de fabricación</t>
  </si>
  <si>
    <t>Si es &gt; 0</t>
  </si>
  <si>
    <t>3. Trabajos realizados por la empresas para su activo</t>
  </si>
  <si>
    <t>Ojo posible duplicidad con altas de inmovilizado</t>
  </si>
  <si>
    <t>9. Imputación de subvenciones de inmovilizado no financiero y otras</t>
  </si>
  <si>
    <t>10. Exceso de provisiones</t>
  </si>
  <si>
    <t>11.b) Deterioro y resultados. Resultados por enajenaciones y otras.</t>
  </si>
  <si>
    <t>12.  Diferencia negativa de combinaciones de negocio</t>
  </si>
  <si>
    <t>14. c) Imputación de subvenciones, donaciones y legados de carácter financiero</t>
  </si>
  <si>
    <t>16. Variación del valor razonable en instrumentos financieros</t>
  </si>
  <si>
    <t xml:space="preserve">  TOTAL INGRESOS (PRESUPUESTARIOS Y NO PRESUPUESTARIOS)</t>
  </si>
  <si>
    <t>6. Gastos de personal</t>
  </si>
  <si>
    <t>Ajustado de provisiones, en negativo (6.c) Provisiones)</t>
  </si>
  <si>
    <t>FC-3. FC-7</t>
  </si>
  <si>
    <t>4. Aprovisionamientos  -   Compras</t>
  </si>
  <si>
    <t>Ajustado de deterioro, en negativo (4.d) Deterioro de mercadería, materias primas, …)</t>
  </si>
  <si>
    <t>7. a) Servicios exteriores.</t>
  </si>
  <si>
    <t>7. b) Tributos</t>
  </si>
  <si>
    <t>7. d) Otros gastos de gestión corriente</t>
  </si>
  <si>
    <t>7. e) Gastos por emisión de gases de efecto invernadero</t>
  </si>
  <si>
    <t>20. Impuesto de beneficios</t>
  </si>
  <si>
    <t>Ajustado (en negativo), subvenciones concedidas y transferencias a realizar por la entidad</t>
  </si>
  <si>
    <t>Gastos imputados a reservas</t>
  </si>
  <si>
    <t>15. a). Gastos financieros. Por deudas con empresas del grupo y asociadas</t>
  </si>
  <si>
    <t>15. b). Gastos financieros. Por deudas con terceros</t>
  </si>
  <si>
    <t>19. a)  Incorporación al activo de gastos financieros</t>
  </si>
  <si>
    <t>Subvenciones concedidas y transferencias a realizar por la entidad</t>
  </si>
  <si>
    <t>Adquisiciones de inmovilizado e inversiones inmobiliarias (celda F31)</t>
  </si>
  <si>
    <t>Intereses capitalizados (celda H31)</t>
  </si>
  <si>
    <t>Reducción de capital</t>
  </si>
  <si>
    <t>Adquisiciones. Inversiones en otras empresas. Resto inversiones (celda H58)</t>
  </si>
  <si>
    <t>Amortizaciones de operaciones de cobertura</t>
  </si>
  <si>
    <t>Amortizaciones de capital de obligaciones y otros valores negociables (A largo y a corto plazo)</t>
  </si>
  <si>
    <t>Amortizaciones de capital de otros pasivos financieros (A largo y a corto plazo)</t>
  </si>
  <si>
    <t xml:space="preserve">Amortizaciones de deudas con empresas del grupo a largo plazo y a corto plazo </t>
  </si>
  <si>
    <t>Amortizaciones de deudas con características especiales a largo plazo y a corto plazo</t>
  </si>
  <si>
    <t xml:space="preserve">  TOTAL GASTOS PRESUPUESTARIOS</t>
  </si>
  <si>
    <t xml:space="preserve">  A. RESULTADO PRESUPUESTARIO (INGRESOS PRESUPUESTARIOS - GASTOS PRESUPUESTARIOS)</t>
  </si>
  <si>
    <t>Si es &lt; 0</t>
  </si>
  <si>
    <t>4.d) Deterioro de mercadería, materias primas, …</t>
  </si>
  <si>
    <t>6.c) Provisiones de personal</t>
  </si>
  <si>
    <t>7. c) Pérdidas, deterioro y variación de provisiones comerciales</t>
  </si>
  <si>
    <t>8) Amortización del inmovilizado</t>
  </si>
  <si>
    <t>11. a) Deterioro y resultado de enajenaciones de inmovilizado. Deterioro y pérdidas</t>
  </si>
  <si>
    <t>11. c) Deterioro y resultados por enajenaciones del inmovilizado de las sociedades holdings</t>
  </si>
  <si>
    <t>15. c) Gastos financieros. Por actualización de provisiones.</t>
  </si>
  <si>
    <t>17. Diferencias en cambio</t>
  </si>
  <si>
    <t>18. Deterioro y resultado por enajenaciones de instrumentos financieros</t>
  </si>
  <si>
    <t>Variaciones de BALANCE sin efecto en presupuesto</t>
  </si>
  <si>
    <t>Subvenciones donaciones y legados</t>
  </si>
  <si>
    <t xml:space="preserve">  B. RESULTADO TOTAL (PRESUPUESTARIO Y NO PRESUPUESTARIO)</t>
  </si>
  <si>
    <t>PRESUPUESTO</t>
  </si>
  <si>
    <t>TOTAL GASTOS PRESUPUESTARIOS Y NO PRESUPUESTARIOS</t>
  </si>
  <si>
    <t>Ajuste (Manual)</t>
  </si>
  <si>
    <t>Comentario ajuste manual</t>
  </si>
  <si>
    <t>Subvenciones de capital concedidas. (celda I31)</t>
  </si>
  <si>
    <t>Disposiciones de capital de operaciones de crédito (celda M42)</t>
  </si>
  <si>
    <t>(1) Ventas y Prestaciones de Servicios. Detallar la cifra del Importe Neto de la Cifra de Negocios de la Cuenta de Pérdidas y Ganancias</t>
  </si>
  <si>
    <t>Adquisiciones. Inversiones empresas grupo y asociadas. Inversiones inst. patrimonio (celda G25)</t>
  </si>
  <si>
    <t>Adquisiciones. Inversiones empresas grupo y asociadas. Resto inversiones (celda G34)</t>
  </si>
  <si>
    <t>Adquisiciones. Inversiones en otras empresas. Inversiones inst. patrimonio (celda G49)</t>
  </si>
  <si>
    <t>Amortizaciones de capital de operaciones de crédito (celda N43)</t>
  </si>
  <si>
    <t>Disposiciones de operaciones de cobertura</t>
  </si>
  <si>
    <t>(+/-)Provisión por desmantelamiento</t>
  </si>
  <si>
    <t xml:space="preserve">(-)Amortización del ejercicio </t>
  </si>
  <si>
    <t xml:space="preserve">(+/-)Deterioro o Reversión del deterioro </t>
  </si>
  <si>
    <t xml:space="preserve">(+/-) Otras variaciones (especificar en observaciones) </t>
  </si>
  <si>
    <t>Variación del activo corriente sin inversiones financieras a C/P</t>
  </si>
  <si>
    <t>Variación deudas comerciales no corrientes</t>
  </si>
  <si>
    <t>Variación del pasivo corriente - no corriente</t>
  </si>
  <si>
    <t>Variación del patrimonio neto</t>
  </si>
  <si>
    <t>Variación activos no corrientes mantenidos para la venta</t>
  </si>
  <si>
    <t>Variación de Existencias</t>
  </si>
  <si>
    <t>Variación de deudores comerciales y otras cuentas a cobrar</t>
  </si>
  <si>
    <t>Variación de periodificaciones a corto plazo</t>
  </si>
  <si>
    <t>Variación de Efectivo y otros activos liquidos equivalentes</t>
  </si>
  <si>
    <t>Variación de pasivos por impuesto diferido</t>
  </si>
  <si>
    <t>FC-4 ACTIVO</t>
  </si>
  <si>
    <t>FC-4 PASIVO</t>
  </si>
  <si>
    <t>Variación de periodificaciones a largo plazo</t>
  </si>
  <si>
    <t>Variación de acreedores comerciales y otras cuentas a pagar</t>
  </si>
  <si>
    <r>
      <t xml:space="preserve">Deuda ent. Crédito + arrend. Financ. </t>
    </r>
    <r>
      <rPr>
        <sz val="12"/>
        <color theme="1"/>
        <rFont val="Arial"/>
        <family val="2"/>
      </rPr>
      <t xml:space="preserve">Largo Plazo </t>
    </r>
    <r>
      <rPr>
        <sz val="12"/>
        <color theme="1"/>
        <rFont val="Arial"/>
        <family val="2"/>
      </rPr>
      <t>en FC-4 PASIVO = desglose en FC-10</t>
    </r>
  </si>
  <si>
    <r>
      <t xml:space="preserve">Deuda ent. Crédito + arrend. Financ. Corto Plazo </t>
    </r>
    <r>
      <rPr>
        <sz val="12"/>
        <color theme="1"/>
        <rFont val="Arial"/>
        <family val="2"/>
      </rPr>
      <t>en FC-4 PASIVO = desglose en FC-10</t>
    </r>
  </si>
  <si>
    <t>COMPROBACIONES</t>
  </si>
  <si>
    <t>De la cuenta de pérdidas y ganancias</t>
  </si>
  <si>
    <t>Resultado de la cuenta de pérdidas y ganancias (FC-3)</t>
  </si>
  <si>
    <t>Total resultado presupuestario y no presupuestario</t>
  </si>
  <si>
    <t>Variaciones en balance sin efecto presupuestario</t>
  </si>
  <si>
    <r>
      <t>Resultado de PyG = Resultado FC-9</t>
    </r>
    <r>
      <rPr>
        <sz val="12"/>
        <color theme="1"/>
        <rFont val="Arial"/>
        <family val="2"/>
      </rPr>
      <t>0-DETALLE</t>
    </r>
  </si>
  <si>
    <t>E_SI</t>
  </si>
  <si>
    <t>E_ID</t>
  </si>
  <si>
    <t xml:space="preserve">a) ACCIONISTAS </t>
  </si>
  <si>
    <t>(1) Valor nominal de una acción o participación</t>
  </si>
  <si>
    <t>(2) Valor teórico por acción o participación. Patrimonio neto a fin del ejercicio / nº de acciones o participaciones que componen el capital social</t>
  </si>
  <si>
    <t>Valor Nominal (1)</t>
  </si>
  <si>
    <t>Valor Teórico (2)</t>
  </si>
  <si>
    <t xml:space="preserve">  Modelo:</t>
  </si>
  <si>
    <t>Normal</t>
  </si>
  <si>
    <t>Abreviado / PyMES</t>
  </si>
  <si>
    <r>
      <t>Total s</t>
    </r>
    <r>
      <rPr>
        <sz val="12"/>
        <color theme="1"/>
        <rFont val="Arial"/>
        <family val="2"/>
      </rPr>
      <t>ubvenciones capital</t>
    </r>
    <r>
      <rPr>
        <sz val="12"/>
        <color theme="1"/>
        <rFont val="Arial"/>
        <family val="2"/>
      </rPr>
      <t xml:space="preserve"> concedidas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= </t>
    </r>
    <r>
      <rPr>
        <sz val="12"/>
        <color theme="1"/>
        <rFont val="Arial"/>
        <family val="2"/>
      </rPr>
      <t>desglose 130-131-132 + desglose 479 en FC-9</t>
    </r>
  </si>
  <si>
    <r>
      <t xml:space="preserve">               Otros pasivos financieros a largo plazo </t>
    </r>
    <r>
      <rPr>
        <b/>
        <sz val="10"/>
        <color theme="1"/>
        <rFont val="Arial"/>
        <family val="2"/>
      </rPr>
      <t>( B) II. 5. )</t>
    </r>
    <r>
      <rPr>
        <sz val="10"/>
        <color theme="1"/>
        <rFont val="Arial"/>
        <family val="2"/>
      </rPr>
      <t xml:space="preserve">  y a corto plazo</t>
    </r>
    <r>
      <rPr>
        <b/>
        <sz val="10"/>
        <color theme="1"/>
        <rFont val="Arial"/>
        <family val="2"/>
      </rPr>
      <t xml:space="preserve"> ( C) III. 5. )</t>
    </r>
    <r>
      <rPr>
        <sz val="10"/>
        <color theme="1"/>
        <rFont val="Arial"/>
        <family val="2"/>
      </rPr>
      <t>, y  deudas con empresas del grupo y asociadas a largo plazo</t>
    </r>
    <r>
      <rPr>
        <b/>
        <sz val="10"/>
        <color theme="1"/>
        <rFont val="Arial"/>
        <family val="2"/>
      </rPr>
      <t xml:space="preserve"> ( B) III. ) </t>
    </r>
    <r>
      <rPr>
        <sz val="10"/>
        <color theme="1"/>
        <rFont val="Arial"/>
        <family val="2"/>
      </rPr>
      <t xml:space="preserve">y a corto plazo </t>
    </r>
    <r>
      <rPr>
        <b/>
        <sz val="10"/>
        <color theme="1"/>
        <rFont val="Arial"/>
        <family val="2"/>
      </rPr>
      <t>( C)  IV. )</t>
    </r>
  </si>
  <si>
    <r>
      <t xml:space="preserve">(1) Se desglosarán todas las operaciones, existentes y previstas, estén o no avaladas por el Cabildo Insular de Tenerife. Desglose epígrafes Pasivo del Balance de Situación: Deudas con entidades de crédito a largo plazo y arrendamientos financieros (  </t>
    </r>
    <r>
      <rPr>
        <b/>
        <sz val="10"/>
        <color theme="1"/>
        <rFont val="Arial"/>
        <family val="2"/>
      </rPr>
      <t>B) II.2. - B) II.3. )</t>
    </r>
    <r>
      <rPr>
        <sz val="10"/>
        <color theme="1"/>
        <rFont val="Arial"/>
        <family val="2"/>
      </rPr>
      <t xml:space="preserve"> y a corto plazo</t>
    </r>
    <r>
      <rPr>
        <b/>
        <sz val="10"/>
        <color theme="1"/>
        <rFont val="Arial"/>
        <family val="2"/>
      </rPr>
      <t xml:space="preserve"> (  C) III.2  C) III.3.  )</t>
    </r>
    <r>
      <rPr>
        <sz val="10"/>
        <color theme="1"/>
        <rFont val="Arial"/>
        <family val="2"/>
      </rPr>
      <t xml:space="preserve">, </t>
    </r>
  </si>
  <si>
    <t>Otros pasivos financieros a corto plazo en FC-4-PASIVO = desglose en FC-10</t>
  </si>
  <si>
    <t>Otros pasivos financieros a largo plazo en FC-4-PASIVO = desglose en FC-10</t>
  </si>
  <si>
    <t>Deudas con empresas del grupo y asociadas a largo plazo en FC-4 PASIVO = desglose en FC-10</t>
  </si>
  <si>
    <t>Deudas con empresas del grupo y asociadas a corto plazo en FC-4 PASIVO = desglose en FC-10</t>
  </si>
  <si>
    <t>Introducir manualmente, en PAIF plantilla no está incluido</t>
  </si>
  <si>
    <t>Introducir manualmente, efecto de anticipos significativos en la entidad que sea aplicable</t>
  </si>
  <si>
    <t>El dato formulado no son compras, incluye variación existencias</t>
  </si>
  <si>
    <t>FC-90_Detalle</t>
  </si>
  <si>
    <t>Otras variaciones (detallar)</t>
  </si>
  <si>
    <t>MOVIMIENTO DE FONDOS PROPIOS</t>
  </si>
  <si>
    <t>Aumento</t>
  </si>
  <si>
    <t>Disminución</t>
  </si>
  <si>
    <t>Resultado</t>
  </si>
  <si>
    <t>Aportaciones Socios</t>
  </si>
  <si>
    <t>Distribución de</t>
  </si>
  <si>
    <t>Gastos/Ingresos</t>
  </si>
  <si>
    <t>Saldo final 31-12</t>
  </si>
  <si>
    <t xml:space="preserve">    MOVIMIENTO DE FONDOS PROPIOS</t>
  </si>
  <si>
    <t>FC-4.1 -MOVIMIENTO DE FONDOS PROPIOS</t>
  </si>
  <si>
    <t>cargo/abono a reservas</t>
  </si>
  <si>
    <t>Capital en FC-4 PASIVO = Movimiento de Fondos Propios en FC-4.1</t>
  </si>
  <si>
    <t>Prima de emisión en FC-4 PASIVO = Movimiento de Fondos Propios en FC-4.1</t>
  </si>
  <si>
    <t>Reservas en FC-4 PASIVO = Movimiento de Fondos Propios en FC-4.1</t>
  </si>
  <si>
    <t>Acciones y participaciones en patrimonio propias en FC-4 PASIVO = Movimiento de Fondos Propios en FC-4.1</t>
  </si>
  <si>
    <t>Resultado de ejercicios anteriores en FC-4 PASIVO = Movimiento de Fondos Propios en FC-4.1</t>
  </si>
  <si>
    <t>Otras aportaciones de socios en FC-4 PASIVO = Movimiento de Fondos Propios en FC-4.1</t>
  </si>
  <si>
    <t>Resultado del ejercicio en FC-4 PASIVO = Movimiento de Fondos Propios en FC-4.1</t>
  </si>
  <si>
    <t>Dividendo a cuenta en FC-4 PASIVO = Movimiento de Fondos Propios en FC-4.1</t>
  </si>
  <si>
    <t>Otros instrumentos de patrimonio en FC-4 PASIVO = Movimiento de Fondos Propios en FC-4.1</t>
  </si>
  <si>
    <r>
      <t>Aumentos en A</t>
    </r>
    <r>
      <rPr>
        <sz val="12"/>
        <color theme="1"/>
        <rFont val="Arial"/>
        <family val="2"/>
      </rPr>
      <t>portaciones socios en FC-4</t>
    </r>
    <r>
      <rPr>
        <sz val="12"/>
        <color theme="1"/>
        <rFont val="Arial"/>
        <family val="2"/>
      </rPr>
      <t>.1 Movimiento Fondos Propios</t>
    </r>
    <r>
      <rPr>
        <sz val="12"/>
        <color theme="1"/>
        <rFont val="Arial"/>
        <family val="2"/>
      </rPr>
      <t xml:space="preserve"> = detalle en FC-9</t>
    </r>
  </si>
  <si>
    <t>Variación de las Provisiones a largo plazo</t>
  </si>
  <si>
    <t>Variación de las Provisiones a corto plazo</t>
  </si>
  <si>
    <t>FC-4.1</t>
  </si>
  <si>
    <t xml:space="preserve">Emisión de instrumentos de patrimonio </t>
  </si>
  <si>
    <t>Variación de las Periodificaciones a corto plazo</t>
  </si>
  <si>
    <t>INTRODUCCIÓN FORMULADA TRAS ANÁLISIS DE MOVIMIENTOS</t>
  </si>
  <si>
    <t>(Aportación de socios)</t>
  </si>
  <si>
    <t>Rtdo. Ejercicio</t>
  </si>
  <si>
    <t>y otras Variaciones</t>
  </si>
  <si>
    <t>Notas explicativas</t>
  </si>
  <si>
    <t>Concedido (4)</t>
  </si>
  <si>
    <r>
      <rPr>
        <b/>
        <sz val="11"/>
        <color theme="1"/>
        <rFont val="Arial"/>
        <family val="2"/>
      </rPr>
      <t>Capital Amort.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indexed="206"/>
        <rFont val="Arial"/>
        <family val="2"/>
      </rPr>
      <t>(5)</t>
    </r>
  </si>
  <si>
    <t>Intereses (6)</t>
  </si>
  <si>
    <t>Otros gastos financieros(7)</t>
  </si>
  <si>
    <t>Clasificación (8)</t>
  </si>
  <si>
    <t>(4) Importe concedido en el momento de la formalización de la operación.</t>
  </si>
  <si>
    <r>
      <t xml:space="preserve">(5) Cuota de amortización del principal de la deuda, y/o amortización anticipada prevista. (Capital a amortizar). </t>
    </r>
    <r>
      <rPr>
        <b/>
        <sz val="10"/>
        <color theme="1"/>
        <rFont val="Arial"/>
        <family val="2"/>
      </rPr>
      <t>CIFRA EN POSITIVO</t>
    </r>
  </si>
  <si>
    <t xml:space="preserve">(6) Intereses devengados en el ejercicio. </t>
  </si>
  <si>
    <t>(7) Otros gastos financieros relacionados con la operación, por ejemplo, gastos de avales, gastos de formalización, etc.</t>
  </si>
  <si>
    <t>(8) Desglose del saldo a fin de ejercicio entre lo que vence a corto plazo (1 año) y lo que vence a largo plazo (más de un año)</t>
  </si>
  <si>
    <t xml:space="preserve">  A. DIFERENCIA INGRESOS - GASTOS</t>
  </si>
  <si>
    <t xml:space="preserve">  B. Ajuste VARIACIONES DE BALANCE</t>
  </si>
  <si>
    <t>RESULTADO DE LA COMPROBACIÓN  ( A + B )</t>
  </si>
  <si>
    <t>Celda no formulada (rellenar a mano por la entidad)</t>
  </si>
  <si>
    <t>Área de Presidencia, Hacienda y Modernización</t>
  </si>
  <si>
    <t>(2) 778. Ingresos Excepcionales: Beneficios e ingresos de carácter excepcional y cuantía significativa que, atendiendo a su naturaleza, no deban contabilizarse en otras cuentas del grupo 7. Se incluirán, entre otros, los procedentes de aquellos créditos que en su día fueron amortizados por insolvencias firmes.</t>
  </si>
  <si>
    <t>Ingresos excepcionales CON efecto monetario o derecho de cobro</t>
  </si>
  <si>
    <t>Ingresos excepcionales SIN efecto monetario o derecho de cobro</t>
  </si>
  <si>
    <t>Gastos excepcionales CON efecto monetario o pasivo financiero</t>
  </si>
  <si>
    <t>Gastos excepcionales SIN efecto monetario o pasivo financiero</t>
  </si>
  <si>
    <t>( Si es "Otros" especificar a la derecha el Ente emisor)</t>
  </si>
  <si>
    <t>Para el desplegable de "I.2. SUBVENCIONES DE EXPLOTACIÓN".</t>
  </si>
  <si>
    <t>Subvenciones explotación del Cabildo en PyG (en FC-3_1) = dato en FC-9</t>
  </si>
  <si>
    <t>Subv. de explotación concedidas por el Cabildo</t>
  </si>
  <si>
    <t>ENCARGOS A MEDIOS PROPIOS PERSONIFICADOS DE LOS PODERES ADJUDICADORES</t>
  </si>
  <si>
    <t>RELACIÓN DE ENCARGOS DEL CABILDO INSULAR DE TENERIFE</t>
  </si>
  <si>
    <t>Encargo</t>
  </si>
  <si>
    <t>Encargos de los poderes adjudicadores</t>
  </si>
  <si>
    <t>Detalle de ingresos y gastos excepcionales. INGRESOS 778 con efecto monetario</t>
  </si>
  <si>
    <t>FC-3_1</t>
  </si>
  <si>
    <t>Ingresos Excepcionales sin efecto monetario</t>
  </si>
  <si>
    <t>Gastos Excepcionales sin efecto monetario</t>
  </si>
  <si>
    <t>Detalle de ingresos y gastos excepcionales. GASTOS 678 con efecto monetario</t>
  </si>
  <si>
    <t>Precio de venta de las enajenaciones (10)</t>
  </si>
  <si>
    <t>OBSERVACIONES (11)</t>
  </si>
  <si>
    <t>(11)  OBSERVACIONES: se recogera cualquier otra información que se considere relevante relativa a cada operación.</t>
  </si>
  <si>
    <t>(10)  PRECIO DE VENTA DE LAS ENAJENACIONES: Precio obtenido de la venta de los elementos de inmovilizado dados de baja en el ejercicio.</t>
  </si>
  <si>
    <t>Información adicional PROVISIONES A LARGO Y A CORTO PLAZO</t>
  </si>
  <si>
    <t>A LARGO PLAZO</t>
  </si>
  <si>
    <t>A CORTO PLAZO</t>
  </si>
  <si>
    <t>(140) Provisión por retribuciones al personal</t>
  </si>
  <si>
    <t>(141) Provisión para impuestos</t>
  </si>
  <si>
    <t>(143) Provisión por desmantelamiento, retiro o rehabilitación del inmovilizado</t>
  </si>
  <si>
    <t>(142), (145), (146), (147) Otras Provisiones</t>
  </si>
  <si>
    <t xml:space="preserve">Saldo inicial </t>
  </si>
  <si>
    <t>Saldo final</t>
  </si>
  <si>
    <t>(+) Dotaciones</t>
  </si>
  <si>
    <t>(-) Aplicaciones</t>
  </si>
  <si>
    <t>(-) Excesos</t>
  </si>
  <si>
    <t xml:space="preserve">(+/-) Traspasos (Reclasificaciones) </t>
  </si>
  <si>
    <t>(5290) Provisión a corto plazo por retribuciones al personal</t>
  </si>
  <si>
    <t>(5291) Provisión a corto plazo para impuestos</t>
  </si>
  <si>
    <t>(5293) Provisión a corto plazo por desmantelamiento, retiro o rehabilitación del inmovilizado</t>
  </si>
  <si>
    <t>(499), (5292), (5295), (5296), (5297) Otras provisiones a corto plazo</t>
  </si>
  <si>
    <t>Se informará en este cuadro del movimiento en el periodo de las provisiones a largo plazo y corto plazo, con el desglose previsto en el Plan General de Contabilidad</t>
  </si>
  <si>
    <t>(1)  OBSERVACIONES: se recogera cualquier otra información que se considere relevante relativa a cada operación.</t>
  </si>
  <si>
    <t>OBSERVACIONES (1)</t>
  </si>
  <si>
    <t>Provisiones a largo plazo en Balance = dato en FC-16_1</t>
  </si>
  <si>
    <t>Provisiones a corto plazo en Balance = dato en FC-16_1</t>
  </si>
  <si>
    <t>FC-16_1</t>
  </si>
  <si>
    <t>Aplicación de Provisiones</t>
  </si>
  <si>
    <t>Inversiones efectuadas por cuenta de Administraciones y Entidades Públicas (2)</t>
  </si>
  <si>
    <t xml:space="preserve">Ayudas, transferencias y subvenciones concedidas </t>
  </si>
  <si>
    <t>(2) En caso de encomiendas de ejecución de obra que se registre en cuentas diferentes al inmovilizado y existencias. Será el Volumen de obra certificada durante el ejercicio y que figure como derecho a cobrar.</t>
  </si>
  <si>
    <t>(3) Debe ajustarse la cuantía de los dividendos recibidos que no proceda de Beneficio del Ejercicio Corriente Antes de Impuestos. (P. Ej. Distribución reservas, distribucioón de resultados no ordinarios)</t>
  </si>
  <si>
    <t>Ajuste de Ingresos de participaciones en instrumentos de patrimonio (dividendos)  (3)</t>
  </si>
  <si>
    <t>Deudas entidades crédito Clasificación CP+LP = Total deuda a 31-12-año n en FC-10</t>
  </si>
  <si>
    <t>Otros pasivos financieros Clasificación CP+LP = Total deuda a 31-12-año n en FC-10</t>
  </si>
  <si>
    <t>Deudas empresas grupo Clasificación CP+LP = Total deuda a 31-12-año n en FC-10</t>
  </si>
  <si>
    <t>APORTACION GENERICA</t>
  </si>
  <si>
    <t>APORTACION BIBLIOTECA</t>
  </si>
  <si>
    <t>ESPACIO CULTURA</t>
  </si>
  <si>
    <t>ESPACIO TEA LA LAGUNA</t>
  </si>
  <si>
    <t>DIRECCION ARTISTICA TEA</t>
  </si>
  <si>
    <t>APORTACION PARA PRODUCTOS DE ACTIVIDADES</t>
  </si>
  <si>
    <t>COLECCIÓN FOTOGRAFICA</t>
  </si>
  <si>
    <t>PROYECTOS DE ARTES ESCENICAS EDUCATIVAS</t>
  </si>
  <si>
    <t>OFICINAS DE PATRIMONIO HISTORICO</t>
  </si>
  <si>
    <t>DOTACION DE EQUIPAMIENTO DE COMUNICACIONES</t>
  </si>
  <si>
    <t>9261</t>
  </si>
  <si>
    <t>3272</t>
  </si>
  <si>
    <t>74301</t>
  </si>
  <si>
    <t>44981</t>
  </si>
  <si>
    <t>IDECO</t>
  </si>
  <si>
    <t>DEVOLUCION SUBVENCION AUDIVISUALES</t>
  </si>
  <si>
    <t>CANCELACION DEUDA IDECO</t>
  </si>
  <si>
    <t>AUDIVISUALES</t>
  </si>
  <si>
    <t>CANCELACION CONTRATO AYUNTAMIENTO</t>
  </si>
  <si>
    <t>FIANZA UNELCO</t>
  </si>
  <si>
    <t>FIANZA AGUAS DE VILAFLOR</t>
  </si>
  <si>
    <t>ADQUISICION OBRAS DE ARTE</t>
  </si>
  <si>
    <t>PARTICULAR</t>
  </si>
  <si>
    <t>DEUDA BASURA PRESCRITA AYTO</t>
  </si>
  <si>
    <t>AYUNTAMIENTO SANTA CRUZ</t>
  </si>
  <si>
    <t>FIANZA CAFETERIA</t>
  </si>
  <si>
    <t>CONYCA</t>
  </si>
  <si>
    <t xml:space="preserve">PAGO IMPUESTO </t>
  </si>
  <si>
    <t>MEJORAS INMOVILIZADO</t>
  </si>
  <si>
    <t>CABILDO TENERIFE</t>
  </si>
  <si>
    <t>PEINES</t>
  </si>
  <si>
    <t>ADQUISICION FOTOGRAFIA</t>
  </si>
  <si>
    <t>TRASPASO EJ ANTERIORES</t>
  </si>
  <si>
    <t>Leopoldo Santos Elorrieta</t>
  </si>
  <si>
    <t>Pedro M. Martín Domínguez</t>
  </si>
  <si>
    <t>Jerónimo Cabrera Romero</t>
  </si>
  <si>
    <t>Pendientes de designación desde la Intervención General de la Corporación.</t>
  </si>
  <si>
    <t>Estamos pendientes de la comunicación, por parte de la Secretaría General de la corporación, de la composición del consejo de Administración.</t>
  </si>
  <si>
    <t>TEA Tenerife Espacio de las Artes, Entidad Pública Empresarial Local</t>
  </si>
  <si>
    <t>Excmo. Cabildo Insular de Tenerife</t>
  </si>
  <si>
    <t>P3800001D</t>
  </si>
  <si>
    <t>0231</t>
  </si>
  <si>
    <t>1001</t>
  </si>
  <si>
    <t>0911</t>
  </si>
  <si>
    <t>Otros ingresos de explotación</t>
  </si>
  <si>
    <t>equipamiento de comunicaciones</t>
  </si>
  <si>
    <t>Carmen Luz Baso Lorenzo</t>
  </si>
  <si>
    <t>Liskel Álvarez Domínguez</t>
  </si>
  <si>
    <t>Concepción M. Rivero Rodríguez</t>
  </si>
  <si>
    <t>María José Belda Díaz</t>
  </si>
  <si>
    <t>Ruth Acosta Trujillo</t>
  </si>
  <si>
    <t>Verónica Meseguer del Pino</t>
  </si>
  <si>
    <t>José Carlos Acha Domínguez</t>
  </si>
  <si>
    <t>Domingo J. Hernández Hernández</t>
  </si>
  <si>
    <t>Vacante</t>
  </si>
  <si>
    <t>Recargos Impuesto Sociedades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</si>
</sst>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d\-mmm\-yyyy"/>
    <numFmt numFmtId="166" formatCode="dd\-mm\-yy;@"/>
    <numFmt numFmtId="167" formatCode="_(* #,##0.00_);_(* \(#,##0.00\);_(* &quot;-&quot;??_);_(@_)"/>
  </numFmts>
  <fonts count="97" x14ac:knownFonts="1">
    <font>
      <sz val="12"/>
      <color theme="1"/>
      <name val="Helvetica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  <charset val="134"/>
    </font>
    <font>
      <sz val="12"/>
      <color theme="1"/>
      <name val="Arial"/>
      <family val="2"/>
      <charset val="134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Helvetica"/>
      <family val="2"/>
    </font>
    <font>
      <u/>
      <sz val="12"/>
      <color theme="11"/>
      <name val="Helvetic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name val="Helvetica"/>
      <family val="2"/>
    </font>
    <font>
      <sz val="10"/>
      <color theme="0" tint="-0.3499862666707357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Helvetica"/>
      <family val="2"/>
    </font>
    <font>
      <sz val="12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i/>
      <sz val="12"/>
      <color theme="1"/>
      <name val="Arial"/>
      <family val="2"/>
    </font>
    <font>
      <sz val="10"/>
      <color rgb="FFFF0000"/>
      <name val="Arial"/>
      <family val="2"/>
    </font>
    <font>
      <b/>
      <i/>
      <sz val="14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u/>
      <sz val="10"/>
      <color theme="1"/>
      <name val="Arial"/>
      <family val="2"/>
    </font>
    <font>
      <b/>
      <sz val="14"/>
      <color rgb="FFFF0000"/>
      <name val="Arial"/>
      <family val="2"/>
    </font>
    <font>
      <sz val="9"/>
      <name val="Arial"/>
      <family val="2"/>
    </font>
    <font>
      <b/>
      <u/>
      <sz val="12"/>
      <color theme="1"/>
      <name val="Arial"/>
      <family val="2"/>
    </font>
    <font>
      <b/>
      <sz val="12"/>
      <color theme="0" tint="-0.34998626667073579"/>
      <name val="Arial"/>
      <family val="2"/>
    </font>
    <font>
      <sz val="18"/>
      <color theme="1"/>
      <name val="Arial"/>
      <family val="2"/>
    </font>
    <font>
      <sz val="11"/>
      <color rgb="FFFF0000"/>
      <name val="Arial"/>
      <family val="2"/>
    </font>
    <font>
      <sz val="11"/>
      <color rgb="FF0070C0"/>
      <name val="Arial"/>
      <family val="2"/>
    </font>
    <font>
      <sz val="11"/>
      <color rgb="FF00B050"/>
      <name val="Arial"/>
      <family val="2"/>
    </font>
    <font>
      <sz val="12"/>
      <color rgb="FF00B050"/>
      <name val="Arial"/>
      <family val="2"/>
    </font>
    <font>
      <b/>
      <sz val="16"/>
      <color rgb="FF000000"/>
      <name val="Arial"/>
      <family val="2"/>
    </font>
    <font>
      <sz val="12"/>
      <color rgb="FF0070C0"/>
      <name val="Arial"/>
      <family val="2"/>
    </font>
    <font>
      <sz val="12"/>
      <color theme="9"/>
      <name val="Arial"/>
      <family val="2"/>
    </font>
    <font>
      <sz val="11"/>
      <color theme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indexed="206"/>
      <name val="Arial"/>
      <family val="2"/>
    </font>
    <font>
      <b/>
      <sz val="11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  <charset val="1"/>
    </font>
    <font>
      <u/>
      <sz val="12"/>
      <color theme="10"/>
      <name val="Helvetica"/>
      <family val="2"/>
      <charset val="134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1"/>
      <name val="Helvetica"/>
      <family val="2"/>
      <charset val="134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1"/>
    </font>
    <font>
      <sz val="12"/>
      <color theme="1"/>
      <name val="Helvetica"/>
      <family val="2"/>
      <charset val="134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1C1FF"/>
        <bgColor indexed="64"/>
      </patternFill>
    </fill>
    <fill>
      <patternFill patternType="solid">
        <fgColor rgb="FFABE3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C66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77111117893"/>
      </left>
      <right style="thin">
        <color theme="0" tint="-0.34998626667073579"/>
      </right>
      <top/>
      <bottom/>
      <diagonal/>
    </border>
    <border>
      <left style="thin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/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hair">
        <color theme="0" tint="-0.249977111117893"/>
      </bottom>
      <diagonal/>
    </border>
    <border>
      <left/>
      <right/>
      <top style="thin">
        <color theme="0" tint="-0.249977111117893"/>
      </top>
      <bottom style="hair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thin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/>
      <top style="hair">
        <color theme="0" tint="-0.249977111117893"/>
      </top>
      <bottom style="thin">
        <color theme="0" tint="-0.249977111117893"/>
      </bottom>
      <diagonal/>
    </border>
    <border>
      <left/>
      <right/>
      <top style="hair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249977111117893"/>
      </top>
      <bottom/>
      <diagonal/>
    </border>
    <border>
      <left style="thin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thin">
        <color theme="0" tint="-0.249977111117893"/>
      </right>
      <top style="hair">
        <color theme="0" tint="-0.249977111117893"/>
      </top>
      <bottom/>
      <diagonal/>
    </border>
    <border>
      <left style="thin">
        <color theme="0" tint="-0.249977111117893"/>
      </left>
      <right/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hair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thin">
        <color theme="0" tint="-0.249977111117893"/>
      </right>
      <top/>
      <bottom style="hair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 style="thin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/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thin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rgb="FFBFBFBF"/>
      </left>
      <right/>
      <top style="thin">
        <color rgb="FFBFBFBF"/>
      </top>
      <bottom style="medium">
        <color rgb="FFBFBFBF"/>
      </bottom>
      <diagonal/>
    </border>
    <border>
      <left/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ck">
        <color theme="0" tint="-0.249977111117893"/>
      </bottom>
      <diagonal/>
    </border>
    <border>
      <left/>
      <right/>
      <top style="thin">
        <color theme="0" tint="-0.249977111117893"/>
      </top>
      <bottom style="thick">
        <color theme="0" tint="-0.249977111117893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34998626667073579"/>
      </bottom>
      <diagonal/>
    </border>
    <border>
      <left/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249977111117893"/>
      </right>
      <top style="thin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249977111117893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/>
      <top style="hair">
        <color theme="0" tint="-0.34998626667073579"/>
      </top>
      <bottom style="thin">
        <color theme="0" tint="-0.249977111117893"/>
      </bottom>
      <diagonal/>
    </border>
    <border>
      <left/>
      <right/>
      <top style="hair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hair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hair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34998626667073579"/>
      </bottom>
      <diagonal/>
    </border>
    <border>
      <left style="thin">
        <color theme="0" tint="-0.249977111117893"/>
      </left>
      <right/>
      <top/>
      <bottom style="hair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/>
      <top style="medium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hair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34998626667073579"/>
      </top>
      <bottom/>
      <diagonal/>
    </border>
    <border>
      <left style="thin">
        <color theme="0" tint="-0.249977111117893"/>
      </left>
      <right/>
      <top style="medium">
        <color theme="0" tint="-0.249977111117893"/>
      </top>
      <bottom style="hair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hair">
        <color theme="0" tint="-0.249977111117893"/>
      </bottom>
      <diagonal/>
    </border>
    <border>
      <left/>
      <right/>
      <top style="medium">
        <color theme="0" tint="-0.249977111117893"/>
      </top>
      <bottom style="hair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 style="medium">
        <color theme="0" tint="-0.34998626667073579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hair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0" tint="-0.34998626667073579"/>
      </bottom>
      <diagonal/>
    </border>
    <border>
      <left/>
      <right/>
      <top style="thin">
        <color theme="0" tint="-0.24994659260841701"/>
      </top>
      <bottom style="medium">
        <color theme="0" tint="-0.34998626667073579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thin">
        <color theme="0" tint="-0.249977111117893"/>
      </left>
      <right/>
      <top style="hair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hair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hair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hair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/>
      <right style="medium">
        <color theme="0" tint="-0.249977111117893"/>
      </right>
      <top/>
      <bottom style="hair">
        <color theme="0" tint="-0.249977111117893"/>
      </bottom>
      <diagonal/>
    </border>
    <border>
      <left/>
      <right style="medium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medium">
        <color theme="0" tint="-0.249977111117893"/>
      </right>
      <top style="hair">
        <color theme="0" tint="-0.249977111117893"/>
      </top>
      <bottom/>
      <diagonal/>
    </border>
    <border>
      <left/>
      <right style="medium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hair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hair">
        <color theme="0" tint="-0.249977111117893"/>
      </top>
      <bottom/>
      <diagonal/>
    </border>
    <border>
      <left style="thin">
        <color theme="0" tint="-0.249977111117893"/>
      </left>
      <right style="medium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/>
      <diagonal/>
    </border>
    <border>
      <left/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ck">
        <color theme="0" tint="-0.249977111117893"/>
      </left>
      <right style="thin">
        <color theme="0" tint="-0.249977111117893"/>
      </right>
      <top/>
      <bottom/>
      <diagonal/>
    </border>
    <border>
      <left style="thick">
        <color theme="0" tint="-0.249977111117893"/>
      </left>
      <right style="thin">
        <color theme="0" tint="-0.249977111117893"/>
      </right>
      <top/>
      <bottom style="hair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34998626667073579"/>
      </top>
      <bottom/>
      <diagonal/>
    </border>
    <border>
      <left/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theme="0" tint="-0.249977111117893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249977111117893"/>
      </left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ck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theme="0" tint="-0.24997711111789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229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9" fontId="30" fillId="0" borderId="0" applyFont="0" applyFill="0" applyBorder="0" applyAlignment="0" applyProtection="0"/>
    <xf numFmtId="0" fontId="32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2" fillId="0" borderId="0"/>
    <xf numFmtId="0" fontId="32" fillId="0" borderId="0"/>
    <xf numFmtId="0" fontId="72" fillId="0" borderId="0"/>
    <xf numFmtId="0" fontId="32" fillId="0" borderId="0"/>
    <xf numFmtId="0" fontId="32" fillId="0" borderId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21" borderId="0" applyNumberFormat="0" applyBorder="0" applyAlignment="0" applyProtection="0"/>
    <xf numFmtId="0" fontId="73" fillId="21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5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8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6" fillId="29" borderId="223" applyNumberFormat="0" applyAlignment="0" applyProtection="0"/>
    <xf numFmtId="0" fontId="76" fillId="29" borderId="223" applyNumberFormat="0" applyAlignment="0" applyProtection="0"/>
    <xf numFmtId="0" fontId="76" fillId="29" borderId="223" applyNumberFormat="0" applyAlignment="0" applyProtection="0"/>
    <xf numFmtId="0" fontId="76" fillId="29" borderId="223" applyNumberFormat="0" applyAlignment="0" applyProtection="0"/>
    <xf numFmtId="0" fontId="76" fillId="29" borderId="223" applyNumberFormat="0" applyAlignment="0" applyProtection="0"/>
    <xf numFmtId="0" fontId="77" fillId="30" borderId="224" applyNumberFormat="0" applyAlignment="0" applyProtection="0"/>
    <xf numFmtId="0" fontId="77" fillId="30" borderId="224" applyNumberFormat="0" applyAlignment="0" applyProtection="0"/>
    <xf numFmtId="0" fontId="78" fillId="0" borderId="225" applyNumberFormat="0" applyFill="0" applyAlignment="0" applyProtection="0"/>
    <xf numFmtId="0" fontId="78" fillId="0" borderId="225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4" fillId="31" borderId="0" applyNumberFormat="0" applyBorder="0" applyAlignment="0" applyProtection="0"/>
    <xf numFmtId="0" fontId="74" fillId="31" borderId="0" applyNumberFormat="0" applyBorder="0" applyAlignment="0" applyProtection="0"/>
    <xf numFmtId="0" fontId="74" fillId="32" borderId="0" applyNumberFormat="0" applyBorder="0" applyAlignment="0" applyProtection="0"/>
    <xf numFmtId="0" fontId="74" fillId="32" borderId="0" applyNumberFormat="0" applyBorder="0" applyAlignment="0" applyProtection="0"/>
    <xf numFmtId="0" fontId="74" fillId="33" borderId="0" applyNumberFormat="0" applyBorder="0" applyAlignment="0" applyProtection="0"/>
    <xf numFmtId="0" fontId="74" fillId="33" borderId="0" applyNumberFormat="0" applyBorder="0" applyAlignment="0" applyProtection="0"/>
    <xf numFmtId="0" fontId="74" fillId="26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7" borderId="0" applyNumberFormat="0" applyBorder="0" applyAlignment="0" applyProtection="0"/>
    <xf numFmtId="0" fontId="74" fillId="34" borderId="0" applyNumberFormat="0" applyBorder="0" applyAlignment="0" applyProtection="0"/>
    <xf numFmtId="0" fontId="74" fillId="34" borderId="0" applyNumberFormat="0" applyBorder="0" applyAlignment="0" applyProtection="0"/>
    <xf numFmtId="0" fontId="80" fillId="20" borderId="223" applyNumberFormat="0" applyAlignment="0" applyProtection="0"/>
    <xf numFmtId="0" fontId="80" fillId="20" borderId="223" applyNumberFormat="0" applyAlignment="0" applyProtection="0"/>
    <xf numFmtId="0" fontId="80" fillId="20" borderId="223" applyNumberFormat="0" applyAlignment="0" applyProtection="0"/>
    <xf numFmtId="0" fontId="80" fillId="20" borderId="223" applyNumberFormat="0" applyAlignment="0" applyProtection="0"/>
    <xf numFmtId="0" fontId="80" fillId="20" borderId="223" applyNumberFormat="0" applyAlignment="0" applyProtection="0"/>
    <xf numFmtId="44" fontId="73" fillId="0" borderId="0" applyFont="0" applyFill="0" applyBorder="0" applyAlignment="0" applyProtection="0"/>
    <xf numFmtId="0" fontId="81" fillId="0" borderId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16" borderId="0" applyNumberFormat="0" applyBorder="0" applyAlignment="0" applyProtection="0"/>
    <xf numFmtId="0" fontId="86" fillId="16" borderId="0" applyNumberFormat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88" fillId="0" borderId="0"/>
    <xf numFmtId="0" fontId="32" fillId="0" borderId="0"/>
    <xf numFmtId="0" fontId="32" fillId="0" borderId="0"/>
    <xf numFmtId="0" fontId="81" fillId="0" borderId="0"/>
    <xf numFmtId="0" fontId="1" fillId="0" borderId="0"/>
    <xf numFmtId="0" fontId="81" fillId="0" borderId="0"/>
    <xf numFmtId="0" fontId="32" fillId="0" borderId="0"/>
    <xf numFmtId="0" fontId="8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4" fillId="0" borderId="0"/>
    <xf numFmtId="0" fontId="89" fillId="0" borderId="0"/>
    <xf numFmtId="0" fontId="73" fillId="36" borderId="226" applyNumberFormat="0" applyFont="0" applyAlignment="0" applyProtection="0"/>
    <xf numFmtId="0" fontId="73" fillId="36" borderId="226" applyNumberFormat="0" applyFont="0" applyAlignment="0" applyProtection="0"/>
    <xf numFmtId="0" fontId="73" fillId="36" borderId="226" applyNumberFormat="0" applyFont="0" applyAlignment="0" applyProtection="0"/>
    <xf numFmtId="0" fontId="32" fillId="36" borderId="226" applyNumberFormat="0" applyFont="0" applyAlignment="0" applyProtection="0"/>
    <xf numFmtId="0" fontId="32" fillId="36" borderId="226" applyNumberFormat="0" applyFont="0" applyAlignment="0" applyProtection="0"/>
    <xf numFmtId="0" fontId="73" fillId="36" borderId="226" applyNumberFormat="0" applyFont="0" applyAlignment="0" applyProtection="0"/>
    <xf numFmtId="0" fontId="73" fillId="36" borderId="226" applyNumberFormat="0" applyFont="0" applyAlignment="0" applyProtection="0"/>
    <xf numFmtId="0" fontId="73" fillId="36" borderId="226" applyNumberFormat="0" applyFont="0" applyAlignment="0" applyProtection="0"/>
    <xf numFmtId="0" fontId="73" fillId="36" borderId="226" applyNumberFormat="0" applyFont="0" applyAlignment="0" applyProtection="0"/>
    <xf numFmtId="0" fontId="73" fillId="36" borderId="226" applyNumberFormat="0" applyFont="0" applyAlignment="0" applyProtection="0"/>
    <xf numFmtId="0" fontId="32" fillId="36" borderId="226" applyNumberFormat="0" applyFont="0" applyAlignment="0" applyProtection="0"/>
    <xf numFmtId="0" fontId="32" fillId="36" borderId="226" applyNumberFormat="0" applyFont="0" applyAlignment="0" applyProtection="0"/>
    <xf numFmtId="0" fontId="32" fillId="36" borderId="226" applyNumberFormat="0" applyFont="0" applyAlignment="0" applyProtection="0"/>
    <xf numFmtId="9" fontId="30" fillId="0" borderId="0" applyFont="0" applyFill="0" applyBorder="0" applyAlignment="0" applyProtection="0"/>
    <xf numFmtId="0" fontId="90" fillId="29" borderId="227" applyNumberFormat="0" applyAlignment="0" applyProtection="0"/>
    <xf numFmtId="0" fontId="90" fillId="29" borderId="227" applyNumberFormat="0" applyAlignment="0" applyProtection="0"/>
    <xf numFmtId="0" fontId="90" fillId="29" borderId="227" applyNumberFormat="0" applyAlignment="0" applyProtection="0"/>
    <xf numFmtId="0" fontId="90" fillId="29" borderId="227" applyNumberFormat="0" applyAlignment="0" applyProtection="0"/>
    <xf numFmtId="0" fontId="90" fillId="29" borderId="227" applyNumberFormat="0" applyAlignment="0" applyProtection="0"/>
    <xf numFmtId="0" fontId="90" fillId="29" borderId="227" applyNumberFormat="0" applyAlignment="0" applyProtection="0"/>
    <xf numFmtId="0" fontId="90" fillId="29" borderId="227" applyNumberFormat="0" applyAlignment="0" applyProtection="0"/>
    <xf numFmtId="0" fontId="90" fillId="29" borderId="227" applyNumberFormat="0" applyAlignment="0" applyProtection="0"/>
    <xf numFmtId="0" fontId="90" fillId="29" borderId="227" applyNumberFormat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228" applyNumberFormat="0" applyFill="0" applyAlignment="0" applyProtection="0"/>
    <xf numFmtId="0" fontId="93" fillId="0" borderId="228" applyNumberFormat="0" applyFill="0" applyAlignment="0" applyProtection="0"/>
    <xf numFmtId="0" fontId="94" fillId="0" borderId="229" applyNumberFormat="0" applyFill="0" applyAlignment="0" applyProtection="0"/>
    <xf numFmtId="0" fontId="94" fillId="0" borderId="229" applyNumberFormat="0" applyFill="0" applyAlignment="0" applyProtection="0"/>
    <xf numFmtId="0" fontId="79" fillId="0" borderId="230" applyNumberFormat="0" applyFill="0" applyAlignment="0" applyProtection="0"/>
    <xf numFmtId="0" fontId="79" fillId="0" borderId="230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231" applyNumberFormat="0" applyFill="0" applyAlignment="0" applyProtection="0"/>
    <xf numFmtId="0" fontId="96" fillId="0" borderId="231" applyNumberFormat="0" applyFill="0" applyAlignment="0" applyProtection="0"/>
    <xf numFmtId="0" fontId="96" fillId="0" borderId="231" applyNumberFormat="0" applyFill="0" applyAlignment="0" applyProtection="0"/>
    <xf numFmtId="0" fontId="96" fillId="0" borderId="231" applyNumberFormat="0" applyFill="0" applyAlignment="0" applyProtection="0"/>
    <xf numFmtId="0" fontId="96" fillId="0" borderId="231" applyNumberFormat="0" applyFill="0" applyAlignment="0" applyProtection="0"/>
    <xf numFmtId="0" fontId="96" fillId="0" borderId="231" applyNumberFormat="0" applyFill="0" applyAlignment="0" applyProtection="0"/>
    <xf numFmtId="0" fontId="96" fillId="0" borderId="231" applyNumberFormat="0" applyFill="0" applyAlignment="0" applyProtection="0"/>
    <xf numFmtId="0" fontId="96" fillId="0" borderId="231" applyNumberFormat="0" applyFill="0" applyAlignment="0" applyProtection="0"/>
    <xf numFmtId="0" fontId="96" fillId="0" borderId="231" applyNumberFormat="0" applyFill="0" applyAlignment="0" applyProtection="0"/>
    <xf numFmtId="0" fontId="96" fillId="0" borderId="233" applyNumberFormat="0" applyFill="0" applyAlignment="0" applyProtection="0"/>
    <xf numFmtId="0" fontId="96" fillId="0" borderId="233" applyNumberFormat="0" applyFill="0" applyAlignment="0" applyProtection="0"/>
    <xf numFmtId="0" fontId="96" fillId="0" borderId="233" applyNumberFormat="0" applyFill="0" applyAlignment="0" applyProtection="0"/>
    <xf numFmtId="0" fontId="96" fillId="0" borderId="233" applyNumberFormat="0" applyFill="0" applyAlignment="0" applyProtection="0"/>
    <xf numFmtId="0" fontId="96" fillId="0" borderId="233" applyNumberFormat="0" applyFill="0" applyAlignment="0" applyProtection="0"/>
    <xf numFmtId="0" fontId="96" fillId="0" borderId="233" applyNumberFormat="0" applyFill="0" applyAlignment="0" applyProtection="0"/>
    <xf numFmtId="0" fontId="96" fillId="0" borderId="233" applyNumberFormat="0" applyFill="0" applyAlignment="0" applyProtection="0"/>
    <xf numFmtId="0" fontId="96" fillId="0" borderId="233" applyNumberFormat="0" applyFill="0" applyAlignment="0" applyProtection="0"/>
    <xf numFmtId="0" fontId="96" fillId="0" borderId="233" applyNumberFormat="0" applyFill="0" applyAlignment="0" applyProtection="0"/>
    <xf numFmtId="0" fontId="90" fillId="29" borderId="232" applyNumberFormat="0" applyAlignment="0" applyProtection="0"/>
    <xf numFmtId="0" fontId="90" fillId="29" borderId="232" applyNumberFormat="0" applyAlignment="0" applyProtection="0"/>
    <xf numFmtId="0" fontId="90" fillId="29" borderId="232" applyNumberFormat="0" applyAlignment="0" applyProtection="0"/>
    <xf numFmtId="0" fontId="90" fillId="29" borderId="232" applyNumberFormat="0" applyAlignment="0" applyProtection="0"/>
    <xf numFmtId="0" fontId="90" fillId="29" borderId="232" applyNumberFormat="0" applyAlignment="0" applyProtection="0"/>
    <xf numFmtId="0" fontId="90" fillId="29" borderId="232" applyNumberFormat="0" applyAlignment="0" applyProtection="0"/>
    <xf numFmtId="0" fontId="90" fillId="29" borderId="232" applyNumberFormat="0" applyAlignment="0" applyProtection="0"/>
    <xf numFmtId="0" fontId="90" fillId="29" borderId="232" applyNumberFormat="0" applyAlignment="0" applyProtection="0"/>
    <xf numFmtId="0" fontId="90" fillId="29" borderId="232" applyNumberFormat="0" applyAlignment="0" applyProtection="0"/>
    <xf numFmtId="0" fontId="76" fillId="29" borderId="234" applyNumberFormat="0" applyAlignment="0" applyProtection="0"/>
    <xf numFmtId="0" fontId="76" fillId="29" borderId="234" applyNumberFormat="0" applyAlignment="0" applyProtection="0"/>
    <xf numFmtId="0" fontId="80" fillId="20" borderId="234" applyNumberFormat="0" applyAlignment="0" applyProtection="0"/>
    <xf numFmtId="0" fontId="80" fillId="20" borderId="234" applyNumberFormat="0" applyAlignment="0" applyProtection="0"/>
    <xf numFmtId="0" fontId="80" fillId="20" borderId="234" applyNumberFormat="0" applyAlignment="0" applyProtection="0"/>
    <xf numFmtId="0" fontId="80" fillId="20" borderId="234" applyNumberFormat="0" applyAlignment="0" applyProtection="0"/>
    <xf numFmtId="0" fontId="80" fillId="20" borderId="234" applyNumberFormat="0" applyAlignment="0" applyProtection="0"/>
    <xf numFmtId="0" fontId="73" fillId="36" borderId="235" applyNumberFormat="0" applyFont="0" applyAlignment="0" applyProtection="0"/>
    <xf numFmtId="0" fontId="73" fillId="36" borderId="235" applyNumberFormat="0" applyFont="0" applyAlignment="0" applyProtection="0"/>
    <xf numFmtId="0" fontId="73" fillId="36" borderId="235" applyNumberFormat="0" applyFont="0" applyAlignment="0" applyProtection="0"/>
    <xf numFmtId="0" fontId="32" fillId="36" borderId="235" applyNumberFormat="0" applyFont="0" applyAlignment="0" applyProtection="0"/>
    <xf numFmtId="0" fontId="32" fillId="36" borderId="235" applyNumberFormat="0" applyFont="0" applyAlignment="0" applyProtection="0"/>
    <xf numFmtId="0" fontId="73" fillId="36" borderId="235" applyNumberFormat="0" applyFont="0" applyAlignment="0" applyProtection="0"/>
    <xf numFmtId="0" fontId="73" fillId="36" borderId="235" applyNumberFormat="0" applyFont="0" applyAlignment="0" applyProtection="0"/>
    <xf numFmtId="0" fontId="73" fillId="36" borderId="235" applyNumberFormat="0" applyFont="0" applyAlignment="0" applyProtection="0"/>
    <xf numFmtId="0" fontId="73" fillId="36" borderId="235" applyNumberFormat="0" applyFont="0" applyAlignment="0" applyProtection="0"/>
    <xf numFmtId="0" fontId="73" fillId="36" borderId="235" applyNumberFormat="0" applyFont="0" applyAlignment="0" applyProtection="0"/>
    <xf numFmtId="0" fontId="32" fillId="36" borderId="235" applyNumberFormat="0" applyFont="0" applyAlignment="0" applyProtection="0"/>
    <xf numFmtId="0" fontId="32" fillId="36" borderId="235" applyNumberFormat="0" applyFont="0" applyAlignment="0" applyProtection="0"/>
    <xf numFmtId="0" fontId="32" fillId="36" borderId="235" applyNumberFormat="0" applyFont="0" applyAlignment="0" applyProtection="0"/>
    <xf numFmtId="0" fontId="76" fillId="29" borderId="234" applyNumberFormat="0" applyAlignment="0" applyProtection="0"/>
    <xf numFmtId="0" fontId="76" fillId="29" borderId="234" applyNumberFormat="0" applyAlignment="0" applyProtection="0"/>
    <xf numFmtId="0" fontId="76" fillId="29" borderId="234" applyNumberFormat="0" applyAlignment="0" applyProtection="0"/>
  </cellStyleXfs>
  <cellXfs count="1555">
    <xf numFmtId="0" fontId="0" fillId="0" borderId="0" xfId="0"/>
    <xf numFmtId="0" fontId="13" fillId="2" borderId="0" xfId="0" applyFont="1" applyFill="1" applyBorder="1"/>
    <xf numFmtId="0" fontId="14" fillId="2" borderId="0" xfId="0" applyFont="1" applyFill="1"/>
    <xf numFmtId="0" fontId="14" fillId="2" borderId="0" xfId="0" applyFont="1" applyFill="1" applyBorder="1"/>
    <xf numFmtId="0" fontId="14" fillId="0" borderId="0" xfId="0" applyFont="1"/>
    <xf numFmtId="0" fontId="14" fillId="2" borderId="6" xfId="0" applyFont="1" applyFill="1" applyBorder="1"/>
    <xf numFmtId="0" fontId="14" fillId="2" borderId="7" xfId="0" applyFont="1" applyFill="1" applyBorder="1"/>
    <xf numFmtId="0" fontId="14" fillId="2" borderId="8" xfId="0" applyFont="1" applyFill="1" applyBorder="1"/>
    <xf numFmtId="0" fontId="14" fillId="2" borderId="9" xfId="0" applyFont="1" applyFill="1" applyBorder="1"/>
    <xf numFmtId="0" fontId="14" fillId="2" borderId="10" xfId="0" applyFont="1" applyFill="1" applyBorder="1"/>
    <xf numFmtId="0" fontId="14" fillId="2" borderId="0" xfId="0" applyFont="1" applyFill="1" applyBorder="1" applyAlignment="1">
      <alignment horizontal="center"/>
    </xf>
    <xf numFmtId="0" fontId="16" fillId="5" borderId="0" xfId="0" applyFont="1" applyFill="1" applyBorder="1" applyAlignment="1">
      <alignment vertical="center"/>
    </xf>
    <xf numFmtId="0" fontId="13" fillId="2" borderId="0" xfId="0" applyFont="1" applyFill="1"/>
    <xf numFmtId="0" fontId="13" fillId="2" borderId="1" xfId="0" applyFont="1" applyFill="1" applyBorder="1"/>
    <xf numFmtId="0" fontId="14" fillId="2" borderId="0" xfId="0" applyFont="1" applyFill="1" applyBorder="1" applyAlignment="1"/>
    <xf numFmtId="0" fontId="14" fillId="2" borderId="0" xfId="0" applyFont="1" applyFill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0" fontId="14" fillId="2" borderId="11" xfId="0" applyFont="1" applyFill="1" applyBorder="1"/>
    <xf numFmtId="0" fontId="14" fillId="2" borderId="12" xfId="0" applyFont="1" applyFill="1" applyBorder="1"/>
    <xf numFmtId="0" fontId="14" fillId="2" borderId="13" xfId="0" applyFont="1" applyFill="1" applyBorder="1"/>
    <xf numFmtId="0" fontId="13" fillId="2" borderId="0" xfId="0" applyFont="1" applyFill="1" applyBorder="1" applyAlignment="1">
      <alignment vertical="center"/>
    </xf>
    <xf numFmtId="0" fontId="17" fillId="2" borderId="0" xfId="0" applyFont="1" applyFill="1" applyBorder="1"/>
    <xf numFmtId="0" fontId="18" fillId="2" borderId="9" xfId="0" applyFont="1" applyFill="1" applyBorder="1"/>
    <xf numFmtId="0" fontId="13" fillId="2" borderId="10" xfId="0" applyFont="1" applyFill="1" applyBorder="1"/>
    <xf numFmtId="0" fontId="14" fillId="2" borderId="2" xfId="0" applyFont="1" applyFill="1" applyBorder="1"/>
    <xf numFmtId="0" fontId="19" fillId="2" borderId="1" xfId="0" applyFont="1" applyFill="1" applyBorder="1"/>
    <xf numFmtId="0" fontId="19" fillId="2" borderId="1" xfId="0" applyFont="1" applyFill="1" applyBorder="1" applyAlignment="1">
      <alignment horizontal="center" wrapText="1"/>
    </xf>
    <xf numFmtId="0" fontId="20" fillId="2" borderId="4" xfId="0" applyFont="1" applyFill="1" applyBorder="1"/>
    <xf numFmtId="0" fontId="20" fillId="2" borderId="5" xfId="0" applyFont="1" applyFill="1" applyBorder="1"/>
    <xf numFmtId="0" fontId="20" fillId="2" borderId="0" xfId="0" applyFont="1" applyFill="1" applyBorder="1"/>
    <xf numFmtId="0" fontId="20" fillId="2" borderId="0" xfId="0" applyFont="1" applyFill="1" applyBorder="1" applyAlignment="1">
      <alignment horizontal="left"/>
    </xf>
    <xf numFmtId="165" fontId="20" fillId="2" borderId="0" xfId="0" applyNumberFormat="1" applyFont="1" applyFill="1" applyBorder="1" applyAlignment="1">
      <alignment horizontal="center"/>
    </xf>
    <xf numFmtId="0" fontId="20" fillId="2" borderId="2" xfId="0" applyFont="1" applyFill="1" applyBorder="1"/>
    <xf numFmtId="165" fontId="14" fillId="2" borderId="12" xfId="0" applyNumberFormat="1" applyFont="1" applyFill="1" applyBorder="1" applyAlignment="1">
      <alignment horizontal="center"/>
    </xf>
    <xf numFmtId="165" fontId="14" fillId="2" borderId="0" xfId="0" applyNumberFormat="1" applyFont="1" applyFill="1" applyAlignment="1">
      <alignment horizontal="center"/>
    </xf>
    <xf numFmtId="0" fontId="21" fillId="2" borderId="0" xfId="0" applyFont="1" applyFill="1" applyBorder="1"/>
    <xf numFmtId="0" fontId="21" fillId="2" borderId="0" xfId="0" applyFont="1" applyFill="1"/>
    <xf numFmtId="0" fontId="13" fillId="4" borderId="0" xfId="0" applyFont="1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23" fillId="2" borderId="0" xfId="0" applyFont="1" applyFill="1" applyAlignment="1">
      <alignment horizontal="right"/>
    </xf>
    <xf numFmtId="0" fontId="24" fillId="2" borderId="0" xfId="0" applyFont="1" applyFill="1"/>
    <xf numFmtId="165" fontId="24" fillId="2" borderId="0" xfId="0" applyNumberFormat="1" applyFont="1" applyFill="1" applyAlignment="1">
      <alignment horizontal="center"/>
    </xf>
    <xf numFmtId="0" fontId="24" fillId="2" borderId="0" xfId="0" applyFont="1" applyFill="1" applyBorder="1"/>
    <xf numFmtId="0" fontId="24" fillId="2" borderId="6" xfId="0" applyFont="1" applyFill="1" applyBorder="1"/>
    <xf numFmtId="0" fontId="24" fillId="2" borderId="7" xfId="0" applyFont="1" applyFill="1" applyBorder="1"/>
    <xf numFmtId="0" fontId="24" fillId="2" borderId="8" xfId="0" applyFont="1" applyFill="1" applyBorder="1"/>
    <xf numFmtId="0" fontId="24" fillId="2" borderId="9" xfId="0" applyFont="1" applyFill="1" applyBorder="1"/>
    <xf numFmtId="0" fontId="25" fillId="2" borderId="0" xfId="0" applyFont="1" applyFill="1" applyBorder="1"/>
    <xf numFmtId="0" fontId="24" fillId="2" borderId="10" xfId="0" applyFont="1" applyFill="1" applyBorder="1"/>
    <xf numFmtId="0" fontId="25" fillId="2" borderId="0" xfId="0" applyFont="1" applyFill="1" applyBorder="1" applyAlignment="1">
      <alignment horizontal="center" vertical="center"/>
    </xf>
    <xf numFmtId="0" fontId="24" fillId="2" borderId="11" xfId="0" applyFont="1" applyFill="1" applyBorder="1"/>
    <xf numFmtId="0" fontId="24" fillId="2" borderId="12" xfId="0" applyFont="1" applyFill="1" applyBorder="1" applyAlignment="1">
      <alignment horizontal="left"/>
    </xf>
    <xf numFmtId="0" fontId="24" fillId="2" borderId="12" xfId="0" applyFont="1" applyFill="1" applyBorder="1"/>
    <xf numFmtId="0" fontId="24" fillId="2" borderId="13" xfId="0" applyFont="1" applyFill="1" applyBorder="1"/>
    <xf numFmtId="0" fontId="13" fillId="4" borderId="0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/>
    </xf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0" xfId="0" applyFont="1" applyFill="1"/>
    <xf numFmtId="0" fontId="18" fillId="2" borderId="10" xfId="0" applyFont="1" applyFill="1" applyBorder="1"/>
    <xf numFmtId="0" fontId="16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10" fillId="2" borderId="0" xfId="0" applyFont="1" applyFill="1" applyAlignment="1">
      <alignment horizontal="left"/>
    </xf>
    <xf numFmtId="0" fontId="16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left"/>
    </xf>
    <xf numFmtId="0" fontId="24" fillId="3" borderId="0" xfId="0" applyFont="1" applyFill="1" applyBorder="1"/>
    <xf numFmtId="0" fontId="13" fillId="2" borderId="21" xfId="0" applyFont="1" applyFill="1" applyBorder="1" applyAlignment="1">
      <alignment horizontal="center"/>
    </xf>
    <xf numFmtId="0" fontId="13" fillId="2" borderId="21" xfId="0" applyFont="1" applyFill="1" applyBorder="1"/>
    <xf numFmtId="0" fontId="10" fillId="2" borderId="22" xfId="0" applyFont="1" applyFill="1" applyBorder="1"/>
    <xf numFmtId="0" fontId="10" fillId="2" borderId="23" xfId="0" applyFont="1" applyFill="1" applyBorder="1"/>
    <xf numFmtId="0" fontId="10" fillId="2" borderId="25" xfId="0" applyFont="1" applyFill="1" applyBorder="1"/>
    <xf numFmtId="0" fontId="16" fillId="2" borderId="24" xfId="0" applyFont="1" applyFill="1" applyBorder="1"/>
    <xf numFmtId="0" fontId="18" fillId="2" borderId="0" xfId="0" applyFont="1" applyFill="1"/>
    <xf numFmtId="0" fontId="16" fillId="2" borderId="27" xfId="0" applyFont="1" applyFill="1" applyBorder="1"/>
    <xf numFmtId="2" fontId="10" fillId="2" borderId="26" xfId="0" applyNumberFormat="1" applyFont="1" applyFill="1" applyBorder="1"/>
    <xf numFmtId="0" fontId="26" fillId="2" borderId="0" xfId="0" applyFont="1" applyFill="1" applyBorder="1"/>
    <xf numFmtId="0" fontId="27" fillId="2" borderId="27" xfId="0" applyFont="1" applyFill="1" applyBorder="1"/>
    <xf numFmtId="0" fontId="29" fillId="2" borderId="9" xfId="0" applyFont="1" applyFill="1" applyBorder="1"/>
    <xf numFmtId="0" fontId="29" fillId="2" borderId="10" xfId="0" applyFont="1" applyFill="1" applyBorder="1"/>
    <xf numFmtId="0" fontId="29" fillId="2" borderId="0" xfId="0" applyFont="1" applyFill="1"/>
    <xf numFmtId="0" fontId="27" fillId="2" borderId="27" xfId="0" applyFont="1" applyFill="1" applyBorder="1" applyAlignment="1">
      <alignment horizontal="left"/>
    </xf>
    <xf numFmtId="0" fontId="16" fillId="2" borderId="21" xfId="0" applyFont="1" applyFill="1" applyBorder="1"/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/>
    <xf numFmtId="0" fontId="28" fillId="2" borderId="0" xfId="0" applyFont="1" applyFill="1" applyBorder="1"/>
    <xf numFmtId="4" fontId="24" fillId="2" borderId="0" xfId="0" applyNumberFormat="1" applyFont="1" applyFill="1"/>
    <xf numFmtId="4" fontId="24" fillId="2" borderId="7" xfId="0" applyNumberFormat="1" applyFont="1" applyFill="1" applyBorder="1"/>
    <xf numFmtId="4" fontId="24" fillId="2" borderId="0" xfId="0" applyNumberFormat="1" applyFont="1" applyFill="1" applyBorder="1"/>
    <xf numFmtId="4" fontId="25" fillId="2" borderId="0" xfId="0" applyNumberFormat="1" applyFont="1" applyFill="1" applyBorder="1" applyAlignment="1">
      <alignment horizontal="center" vertical="center"/>
    </xf>
    <xf numFmtId="4" fontId="16" fillId="5" borderId="0" xfId="0" applyNumberFormat="1" applyFont="1" applyFill="1" applyBorder="1" applyAlignment="1">
      <alignment vertical="center"/>
    </xf>
    <xf numFmtId="4" fontId="16" fillId="2" borderId="0" xfId="0" applyNumberFormat="1" applyFont="1" applyFill="1" applyBorder="1" applyAlignment="1">
      <alignment vertical="center"/>
    </xf>
    <xf numFmtId="4" fontId="24" fillId="2" borderId="12" xfId="0" applyNumberFormat="1" applyFont="1" applyFill="1" applyBorder="1"/>
    <xf numFmtId="4" fontId="23" fillId="2" borderId="0" xfId="0" applyNumberFormat="1" applyFont="1" applyFill="1" applyAlignment="1">
      <alignment horizontal="right"/>
    </xf>
    <xf numFmtId="4" fontId="16" fillId="2" borderId="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/>
    </xf>
    <xf numFmtId="4" fontId="24" fillId="2" borderId="0" xfId="0" applyNumberFormat="1" applyFont="1" applyFill="1" applyAlignment="1">
      <alignment horizontal="left"/>
    </xf>
    <xf numFmtId="0" fontId="24" fillId="2" borderId="6" xfId="0" applyFont="1" applyFill="1" applyBorder="1" applyAlignment="1">
      <alignment horizontal="left"/>
    </xf>
    <xf numFmtId="0" fontId="24" fillId="2" borderId="7" xfId="0" applyFont="1" applyFill="1" applyBorder="1" applyAlignment="1">
      <alignment horizontal="left"/>
    </xf>
    <xf numFmtId="4" fontId="24" fillId="2" borderId="7" xfId="0" applyNumberFormat="1" applyFont="1" applyFill="1" applyBorder="1" applyAlignment="1">
      <alignment horizontal="left"/>
    </xf>
    <xf numFmtId="0" fontId="24" fillId="2" borderId="8" xfId="0" applyFont="1" applyFill="1" applyBorder="1" applyAlignment="1">
      <alignment horizontal="left"/>
    </xf>
    <xf numFmtId="0" fontId="24" fillId="2" borderId="9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4" fontId="24" fillId="2" borderId="0" xfId="0" applyNumberFormat="1" applyFont="1" applyFill="1" applyBorder="1" applyAlignment="1">
      <alignment horizontal="left"/>
    </xf>
    <xf numFmtId="0" fontId="24" fillId="2" borderId="10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4" fontId="25" fillId="2" borderId="0" xfId="0" applyNumberFormat="1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left" vertical="center"/>
    </xf>
    <xf numFmtId="4" fontId="16" fillId="5" borderId="0" xfId="0" applyNumberFormat="1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20" fillId="2" borderId="9" xfId="0" applyFont="1" applyFill="1" applyBorder="1" applyAlignment="1">
      <alignment horizontal="left"/>
    </xf>
    <xf numFmtId="0" fontId="20" fillId="2" borderId="10" xfId="0" applyFont="1" applyFill="1" applyBorder="1" applyAlignment="1">
      <alignment horizontal="left"/>
    </xf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/>
    </xf>
    <xf numFmtId="0" fontId="24" fillId="2" borderId="11" xfId="0" applyFont="1" applyFill="1" applyBorder="1" applyAlignment="1">
      <alignment horizontal="left"/>
    </xf>
    <xf numFmtId="4" fontId="24" fillId="2" borderId="12" xfId="0" applyNumberFormat="1" applyFont="1" applyFill="1" applyBorder="1" applyAlignment="1">
      <alignment horizontal="left"/>
    </xf>
    <xf numFmtId="0" fontId="24" fillId="2" borderId="13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left"/>
    </xf>
    <xf numFmtId="0" fontId="21" fillId="2" borderId="0" xfId="0" applyFont="1" applyFill="1" applyAlignment="1">
      <alignment horizontal="left"/>
    </xf>
    <xf numFmtId="3" fontId="13" fillId="2" borderId="38" xfId="0" applyNumberFormat="1" applyFont="1" applyFill="1" applyBorder="1" applyAlignment="1">
      <alignment horizontal="center" vertical="center"/>
    </xf>
    <xf numFmtId="4" fontId="13" fillId="2" borderId="38" xfId="0" applyNumberFormat="1" applyFont="1" applyFill="1" applyBorder="1" applyAlignment="1">
      <alignment vertical="center"/>
    </xf>
    <xf numFmtId="0" fontId="25" fillId="2" borderId="10" xfId="0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24" fillId="2" borderId="42" xfId="0" applyFont="1" applyFill="1" applyBorder="1"/>
    <xf numFmtId="4" fontId="16" fillId="2" borderId="43" xfId="0" applyNumberFormat="1" applyFont="1" applyFill="1" applyBorder="1"/>
    <xf numFmtId="4" fontId="13" fillId="2" borderId="43" xfId="0" applyNumberFormat="1" applyFont="1" applyFill="1" applyBorder="1"/>
    <xf numFmtId="4" fontId="10" fillId="2" borderId="44" xfId="0" applyNumberFormat="1" applyFont="1" applyFill="1" applyBorder="1"/>
    <xf numFmtId="4" fontId="10" fillId="2" borderId="45" xfId="0" applyNumberFormat="1" applyFont="1" applyFill="1" applyBorder="1"/>
    <xf numFmtId="4" fontId="24" fillId="2" borderId="42" xfId="0" applyNumberFormat="1" applyFont="1" applyFill="1" applyBorder="1"/>
    <xf numFmtId="4" fontId="27" fillId="2" borderId="41" xfId="0" applyNumberFormat="1" applyFont="1" applyFill="1" applyBorder="1"/>
    <xf numFmtId="0" fontId="16" fillId="2" borderId="48" xfId="0" applyFont="1" applyFill="1" applyBorder="1" applyAlignment="1">
      <alignment horizontal="center"/>
    </xf>
    <xf numFmtId="0" fontId="24" fillId="2" borderId="49" xfId="0" applyFont="1" applyFill="1" applyBorder="1"/>
    <xf numFmtId="0" fontId="16" fillId="2" borderId="34" xfId="0" applyFont="1" applyFill="1" applyBorder="1" applyAlignment="1">
      <alignment horizontal="center"/>
    </xf>
    <xf numFmtId="4" fontId="16" fillId="2" borderId="50" xfId="0" applyNumberFormat="1" applyFont="1" applyFill="1" applyBorder="1"/>
    <xf numFmtId="0" fontId="13" fillId="2" borderId="34" xfId="0" applyFont="1" applyFill="1" applyBorder="1" applyAlignment="1">
      <alignment horizontal="center"/>
    </xf>
    <xf numFmtId="4" fontId="13" fillId="2" borderId="50" xfId="0" applyNumberFormat="1" applyFont="1" applyFill="1" applyBorder="1"/>
    <xf numFmtId="0" fontId="10" fillId="2" borderId="51" xfId="0" applyFont="1" applyFill="1" applyBorder="1" applyAlignment="1">
      <alignment horizontal="center"/>
    </xf>
    <xf numFmtId="0" fontId="10" fillId="2" borderId="53" xfId="0" applyFont="1" applyFill="1" applyBorder="1" applyAlignment="1">
      <alignment horizontal="center"/>
    </xf>
    <xf numFmtId="4" fontId="10" fillId="2" borderId="54" xfId="0" applyNumberFormat="1" applyFont="1" applyFill="1" applyBorder="1"/>
    <xf numFmtId="0" fontId="10" fillId="2" borderId="48" xfId="0" applyFont="1" applyFill="1" applyBorder="1" applyAlignment="1">
      <alignment horizontal="center"/>
    </xf>
    <xf numFmtId="4" fontId="24" fillId="2" borderId="49" xfId="0" applyNumberFormat="1" applyFont="1" applyFill="1" applyBorder="1"/>
    <xf numFmtId="0" fontId="13" fillId="2" borderId="48" xfId="0" applyFont="1" applyFill="1" applyBorder="1" applyAlignment="1">
      <alignment horizontal="center"/>
    </xf>
    <xf numFmtId="0" fontId="28" fillId="2" borderId="48" xfId="0" applyFont="1" applyFill="1" applyBorder="1" applyAlignment="1">
      <alignment horizontal="center"/>
    </xf>
    <xf numFmtId="0" fontId="27" fillId="2" borderId="55" xfId="0" applyFont="1" applyFill="1" applyBorder="1" applyAlignment="1">
      <alignment horizontal="left"/>
    </xf>
    <xf numFmtId="4" fontId="27" fillId="2" borderId="56" xfId="0" applyNumberFormat="1" applyFont="1" applyFill="1" applyBorder="1"/>
    <xf numFmtId="4" fontId="13" fillId="2" borderId="0" xfId="0" applyNumberFormat="1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4" fontId="18" fillId="2" borderId="0" xfId="0" applyNumberFormat="1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left" vertical="center"/>
    </xf>
    <xf numFmtId="0" fontId="9" fillId="2" borderId="64" xfId="0" applyFont="1" applyFill="1" applyBorder="1" applyAlignment="1">
      <alignment horizontal="left" vertical="center"/>
    </xf>
    <xf numFmtId="0" fontId="9" fillId="2" borderId="66" xfId="0" applyFont="1" applyFill="1" applyBorder="1" applyAlignment="1">
      <alignment horizontal="left" vertical="center"/>
    </xf>
    <xf numFmtId="0" fontId="9" fillId="2" borderId="67" xfId="0" applyFont="1" applyFill="1" applyBorder="1" applyAlignment="1">
      <alignment horizontal="left" vertical="center"/>
    </xf>
    <xf numFmtId="0" fontId="9" fillId="2" borderId="69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13" fillId="2" borderId="73" xfId="0" applyFont="1" applyFill="1" applyBorder="1" applyAlignment="1">
      <alignment horizontal="left" vertical="center"/>
    </xf>
    <xf numFmtId="0" fontId="13" fillId="2" borderId="74" xfId="0" applyFont="1" applyFill="1" applyBorder="1" applyAlignment="1">
      <alignment horizontal="left" vertical="center"/>
    </xf>
    <xf numFmtId="4" fontId="13" fillId="2" borderId="75" xfId="0" applyNumberFormat="1" applyFont="1" applyFill="1" applyBorder="1" applyAlignment="1">
      <alignment horizontal="left" vertical="center"/>
    </xf>
    <xf numFmtId="0" fontId="19" fillId="2" borderId="9" xfId="0" applyFont="1" applyFill="1" applyBorder="1" applyAlignment="1">
      <alignment horizontal="left"/>
    </xf>
    <xf numFmtId="0" fontId="9" fillId="2" borderId="73" xfId="0" applyFont="1" applyFill="1" applyBorder="1" applyAlignment="1">
      <alignment horizontal="left" vertical="center"/>
    </xf>
    <xf numFmtId="0" fontId="9" fillId="2" borderId="74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left" vertical="center"/>
    </xf>
    <xf numFmtId="0" fontId="38" fillId="2" borderId="0" xfId="0" applyFont="1" applyFill="1" applyBorder="1" applyAlignment="1">
      <alignment horizontal="left" vertical="center"/>
    </xf>
    <xf numFmtId="4" fontId="38" fillId="2" borderId="0" xfId="0" applyNumberFormat="1" applyFont="1" applyFill="1" applyBorder="1" applyAlignment="1">
      <alignment horizontal="left" vertical="center"/>
    </xf>
    <xf numFmtId="0" fontId="35" fillId="2" borderId="0" xfId="0" applyFont="1" applyFill="1" applyBorder="1" applyAlignment="1">
      <alignment horizontal="left" vertical="center"/>
    </xf>
    <xf numFmtId="4" fontId="13" fillId="2" borderId="77" xfId="0" applyNumberFormat="1" applyFont="1" applyFill="1" applyBorder="1" applyAlignment="1">
      <alignment vertical="center"/>
    </xf>
    <xf numFmtId="4" fontId="9" fillId="2" borderId="77" xfId="0" applyNumberFormat="1" applyFont="1" applyFill="1" applyBorder="1" applyAlignment="1">
      <alignment vertical="center"/>
    </xf>
    <xf numFmtId="4" fontId="9" fillId="2" borderId="79" xfId="0" applyNumberFormat="1" applyFont="1" applyFill="1" applyBorder="1" applyAlignment="1">
      <alignment vertical="center"/>
    </xf>
    <xf numFmtId="4" fontId="13" fillId="2" borderId="72" xfId="0" applyNumberFormat="1" applyFont="1" applyFill="1" applyBorder="1" applyAlignment="1">
      <alignment vertical="center"/>
    </xf>
    <xf numFmtId="4" fontId="13" fillId="2" borderId="78" xfId="0" applyNumberFormat="1" applyFont="1" applyFill="1" applyBorder="1" applyAlignment="1">
      <alignment vertical="center"/>
    </xf>
    <xf numFmtId="4" fontId="13" fillId="2" borderId="79" xfId="0" applyNumberFormat="1" applyFont="1" applyFill="1" applyBorder="1" applyAlignment="1">
      <alignment vertical="center"/>
    </xf>
    <xf numFmtId="4" fontId="13" fillId="2" borderId="68" xfId="0" applyNumberFormat="1" applyFont="1" applyFill="1" applyBorder="1" applyAlignment="1">
      <alignment vertical="center"/>
    </xf>
    <xf numFmtId="4" fontId="13" fillId="2" borderId="71" xfId="0" applyNumberFormat="1" applyFont="1" applyFill="1" applyBorder="1" applyAlignment="1">
      <alignment vertical="center"/>
    </xf>
    <xf numFmtId="4" fontId="13" fillId="2" borderId="75" xfId="0" applyNumberFormat="1" applyFont="1" applyFill="1" applyBorder="1" applyAlignment="1">
      <alignment vertical="center"/>
    </xf>
    <xf numFmtId="0" fontId="13" fillId="2" borderId="1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left" vertical="center"/>
    </xf>
    <xf numFmtId="0" fontId="9" fillId="2" borderId="100" xfId="0" applyFont="1" applyFill="1" applyBorder="1" applyAlignment="1">
      <alignment horizontal="left" vertical="center"/>
    </xf>
    <xf numFmtId="4" fontId="13" fillId="2" borderId="101" xfId="0" applyNumberFormat="1" applyFont="1" applyFill="1" applyBorder="1" applyAlignment="1">
      <alignment vertical="center"/>
    </xf>
    <xf numFmtId="4" fontId="13" fillId="2" borderId="104" xfId="0" applyNumberFormat="1" applyFont="1" applyFill="1" applyBorder="1" applyAlignment="1">
      <alignment vertical="center"/>
    </xf>
    <xf numFmtId="0" fontId="34" fillId="2" borderId="0" xfId="132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13" fillId="2" borderId="16" xfId="0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left" vertical="center"/>
    </xf>
    <xf numFmtId="4" fontId="13" fillId="2" borderId="15" xfId="0" applyNumberFormat="1" applyFont="1" applyFill="1" applyBorder="1" applyAlignment="1">
      <alignment vertical="center"/>
    </xf>
    <xf numFmtId="0" fontId="9" fillId="2" borderId="99" xfId="0" applyFont="1" applyFill="1" applyBorder="1" applyAlignment="1">
      <alignment horizontal="center" vertical="center"/>
    </xf>
    <xf numFmtId="4" fontId="9" fillId="2" borderId="101" xfId="0" applyNumberFormat="1" applyFont="1" applyFill="1" applyBorder="1" applyAlignment="1">
      <alignment vertical="center"/>
    </xf>
    <xf numFmtId="0" fontId="19" fillId="3" borderId="57" xfId="0" applyFont="1" applyFill="1" applyBorder="1" applyAlignment="1">
      <alignment horizontal="left" vertical="center"/>
    </xf>
    <xf numFmtId="0" fontId="19" fillId="3" borderId="59" xfId="0" applyFont="1" applyFill="1" applyBorder="1" applyAlignment="1">
      <alignment horizontal="left" vertical="center"/>
    </xf>
    <xf numFmtId="0" fontId="13" fillId="3" borderId="76" xfId="0" applyFont="1" applyFill="1" applyBorder="1" applyAlignment="1">
      <alignment horizontal="center" vertical="center"/>
    </xf>
    <xf numFmtId="0" fontId="16" fillId="3" borderId="62" xfId="0" applyFont="1" applyFill="1" applyBorder="1" applyAlignment="1">
      <alignment horizontal="left"/>
    </xf>
    <xf numFmtId="0" fontId="16" fillId="3" borderId="19" xfId="0" applyFont="1" applyFill="1" applyBorder="1" applyAlignment="1">
      <alignment horizontal="left"/>
    </xf>
    <xf numFmtId="0" fontId="34" fillId="3" borderId="80" xfId="132" applyFont="1" applyFill="1" applyBorder="1" applyAlignment="1">
      <alignment horizontal="center" wrapText="1"/>
    </xf>
    <xf numFmtId="0" fontId="36" fillId="3" borderId="105" xfId="132" applyFont="1" applyFill="1" applyBorder="1" applyAlignment="1">
      <alignment horizontal="center" wrapText="1"/>
    </xf>
    <xf numFmtId="0" fontId="36" fillId="3" borderId="106" xfId="132" applyFont="1" applyFill="1" applyBorder="1" applyAlignment="1">
      <alignment horizontal="center" wrapText="1"/>
    </xf>
    <xf numFmtId="0" fontId="36" fillId="3" borderId="107" xfId="132" applyFont="1" applyFill="1" applyBorder="1" applyAlignment="1">
      <alignment horizontal="center" wrapText="1"/>
    </xf>
    <xf numFmtId="0" fontId="16" fillId="3" borderId="19" xfId="0" applyFont="1" applyFill="1" applyBorder="1" applyAlignment="1">
      <alignment horizontal="left" vertical="center"/>
    </xf>
    <xf numFmtId="0" fontId="34" fillId="3" borderId="42" xfId="132" applyFont="1" applyFill="1" applyBorder="1" applyAlignment="1">
      <alignment horizontal="center" wrapText="1"/>
    </xf>
    <xf numFmtId="0" fontId="16" fillId="3" borderId="62" xfId="0" applyFont="1" applyFill="1" applyBorder="1" applyAlignment="1">
      <alignment horizontal="left" vertical="center"/>
    </xf>
    <xf numFmtId="0" fontId="13" fillId="2" borderId="18" xfId="0" applyFont="1" applyFill="1" applyBorder="1" applyAlignment="1">
      <alignment horizontal="center" vertical="center"/>
    </xf>
    <xf numFmtId="0" fontId="24" fillId="3" borderId="31" xfId="0" applyFont="1" applyFill="1" applyBorder="1"/>
    <xf numFmtId="0" fontId="24" fillId="3" borderId="32" xfId="0" applyFont="1" applyFill="1" applyBorder="1"/>
    <xf numFmtId="0" fontId="13" fillId="3" borderId="46" xfId="0" applyFont="1" applyFill="1" applyBorder="1" applyAlignment="1">
      <alignment horizontal="center"/>
    </xf>
    <xf numFmtId="0" fontId="13" fillId="3" borderId="47" xfId="0" applyFont="1" applyFill="1" applyBorder="1" applyAlignment="1">
      <alignment horizontal="center"/>
    </xf>
    <xf numFmtId="0" fontId="17" fillId="3" borderId="48" xfId="0" applyFont="1" applyFill="1" applyBorder="1"/>
    <xf numFmtId="0" fontId="27" fillId="3" borderId="42" xfId="0" applyFont="1" applyFill="1" applyBorder="1" applyAlignment="1">
      <alignment horizontal="center"/>
    </xf>
    <xf numFmtId="0" fontId="27" fillId="3" borderId="49" xfId="0" applyFont="1" applyFill="1" applyBorder="1" applyAlignment="1">
      <alignment horizontal="center"/>
    </xf>
    <xf numFmtId="4" fontId="18" fillId="2" borderId="6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4" fontId="13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horizontal="left" vertical="center"/>
    </xf>
    <xf numFmtId="0" fontId="13" fillId="2" borderId="73" xfId="0" applyFont="1" applyFill="1" applyBorder="1" applyAlignment="1">
      <alignment horizontal="center" vertical="center"/>
    </xf>
    <xf numFmtId="0" fontId="13" fillId="3" borderId="57" xfId="0" applyFont="1" applyFill="1" applyBorder="1" applyAlignment="1">
      <alignment horizontal="left"/>
    </xf>
    <xf numFmtId="0" fontId="34" fillId="3" borderId="76" xfId="132" applyFont="1" applyFill="1" applyBorder="1" applyAlignment="1">
      <alignment horizontal="center" wrapText="1"/>
    </xf>
    <xf numFmtId="0" fontId="13" fillId="3" borderId="60" xfId="0" applyFont="1" applyFill="1" applyBorder="1" applyAlignment="1">
      <alignment horizontal="left"/>
    </xf>
    <xf numFmtId="0" fontId="13" fillId="3" borderId="58" xfId="0" applyFont="1" applyFill="1" applyBorder="1" applyAlignment="1">
      <alignment horizontal="left"/>
    </xf>
    <xf numFmtId="0" fontId="34" fillId="3" borderId="59" xfId="132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left"/>
    </xf>
    <xf numFmtId="0" fontId="34" fillId="3" borderId="61" xfId="132" applyFont="1" applyFill="1" applyBorder="1" applyAlignment="1">
      <alignment horizontal="center" wrapText="1"/>
    </xf>
    <xf numFmtId="4" fontId="13" fillId="2" borderId="115" xfId="0" applyNumberFormat="1" applyFont="1" applyFill="1" applyBorder="1" applyAlignment="1">
      <alignment vertical="center"/>
    </xf>
    <xf numFmtId="4" fontId="13" fillId="2" borderId="91" xfId="0" applyNumberFormat="1" applyFont="1" applyFill="1" applyBorder="1" applyAlignment="1">
      <alignment vertical="center"/>
    </xf>
    <xf numFmtId="4" fontId="13" fillId="2" borderId="74" xfId="0" applyNumberFormat="1" applyFont="1" applyFill="1" applyBorder="1" applyAlignment="1">
      <alignment vertical="center"/>
    </xf>
    <xf numFmtId="0" fontId="9" fillId="2" borderId="65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4" fontId="20" fillId="2" borderId="0" xfId="0" applyNumberFormat="1" applyFont="1" applyFill="1" applyBorder="1" applyAlignment="1">
      <alignment horizontal="left"/>
    </xf>
    <xf numFmtId="4" fontId="20" fillId="2" borderId="111" xfId="0" applyNumberFormat="1" applyFont="1" applyFill="1" applyBorder="1" applyAlignment="1">
      <alignment horizontal="left"/>
    </xf>
    <xf numFmtId="4" fontId="20" fillId="2" borderId="112" xfId="0" applyNumberFormat="1" applyFont="1" applyFill="1" applyBorder="1" applyAlignment="1">
      <alignment horizontal="left"/>
    </xf>
    <xf numFmtId="4" fontId="20" fillId="2" borderId="113" xfId="0" applyNumberFormat="1" applyFont="1" applyFill="1" applyBorder="1" applyAlignment="1">
      <alignment horizontal="left"/>
    </xf>
    <xf numFmtId="4" fontId="13" fillId="2" borderId="92" xfId="0" applyNumberFormat="1" applyFont="1" applyFill="1" applyBorder="1" applyAlignment="1">
      <alignment vertical="center"/>
    </xf>
    <xf numFmtId="4" fontId="13" fillId="2" borderId="90" xfId="0" applyNumberFormat="1" applyFont="1" applyFill="1" applyBorder="1" applyAlignment="1">
      <alignment vertical="center"/>
    </xf>
    <xf numFmtId="0" fontId="34" fillId="3" borderId="116" xfId="132" applyFont="1" applyFill="1" applyBorder="1" applyAlignment="1">
      <alignment horizontal="center" wrapText="1"/>
    </xf>
    <xf numFmtId="0" fontId="34" fillId="3" borderId="117" xfId="132" applyFont="1" applyFill="1" applyBorder="1" applyAlignment="1">
      <alignment horizontal="center" wrapText="1"/>
    </xf>
    <xf numFmtId="0" fontId="34" fillId="3" borderId="118" xfId="132" applyFont="1" applyFill="1" applyBorder="1" applyAlignment="1">
      <alignment horizontal="center" wrapText="1"/>
    </xf>
    <xf numFmtId="0" fontId="24" fillId="2" borderId="0" xfId="0" applyFont="1" applyFill="1" applyAlignment="1">
      <alignment horizontal="left" vertical="center"/>
    </xf>
    <xf numFmtId="0" fontId="20" fillId="2" borderId="9" xfId="0" applyFont="1" applyFill="1" applyBorder="1" applyAlignment="1">
      <alignment horizontal="left" vertical="center"/>
    </xf>
    <xf numFmtId="0" fontId="13" fillId="3" borderId="58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left" vertical="center"/>
    </xf>
    <xf numFmtId="0" fontId="13" fillId="3" borderId="42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80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34" fillId="3" borderId="118" xfId="132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34" fillId="3" borderId="107" xfId="132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left"/>
    </xf>
    <xf numFmtId="0" fontId="34" fillId="3" borderId="119" xfId="132" applyFont="1" applyFill="1" applyBorder="1" applyAlignment="1">
      <alignment horizontal="center" vertical="center" wrapText="1"/>
    </xf>
    <xf numFmtId="4" fontId="41" fillId="2" borderId="0" xfId="0" applyNumberFormat="1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vertical="center" wrapText="1"/>
    </xf>
    <xf numFmtId="0" fontId="13" fillId="3" borderId="57" xfId="0" applyFont="1" applyFill="1" applyBorder="1" applyAlignment="1">
      <alignment horizontal="center" vertical="center"/>
    </xf>
    <xf numFmtId="0" fontId="13" fillId="3" borderId="60" xfId="0" applyFont="1" applyFill="1" applyBorder="1" applyAlignment="1">
      <alignment horizontal="center" vertical="center"/>
    </xf>
    <xf numFmtId="0" fontId="13" fillId="3" borderId="62" xfId="0" applyFont="1" applyFill="1" applyBorder="1" applyAlignment="1">
      <alignment horizontal="center" vertical="center"/>
    </xf>
    <xf numFmtId="0" fontId="13" fillId="3" borderId="59" xfId="0" applyFont="1" applyFill="1" applyBorder="1" applyAlignment="1">
      <alignment horizontal="center" vertical="center"/>
    </xf>
    <xf numFmtId="0" fontId="13" fillId="3" borderId="61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9" fillId="2" borderId="104" xfId="0" applyFont="1" applyFill="1" applyBorder="1" applyAlignment="1">
      <alignment horizontal="left" vertical="center"/>
    </xf>
    <xf numFmtId="0" fontId="9" fillId="2" borderId="71" xfId="0" applyFont="1" applyFill="1" applyBorder="1" applyAlignment="1">
      <alignment horizontal="left" vertical="center"/>
    </xf>
    <xf numFmtId="4" fontId="16" fillId="2" borderId="18" xfId="0" applyNumberFormat="1" applyFont="1" applyFill="1" applyBorder="1" applyAlignment="1">
      <alignment horizontal="left" vertical="center"/>
    </xf>
    <xf numFmtId="0" fontId="13" fillId="3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/>
    </xf>
    <xf numFmtId="4" fontId="13" fillId="2" borderId="72" xfId="0" applyNumberFormat="1" applyFont="1" applyFill="1" applyBorder="1" applyAlignment="1"/>
    <xf numFmtId="4" fontId="13" fillId="2" borderId="75" xfId="0" applyNumberFormat="1" applyFont="1" applyFill="1" applyBorder="1" applyAlignment="1"/>
    <xf numFmtId="0" fontId="13" fillId="2" borderId="62" xfId="0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vertical="center"/>
    </xf>
    <xf numFmtId="0" fontId="13" fillId="2" borderId="20" xfId="0" applyFont="1" applyFill="1" applyBorder="1"/>
    <xf numFmtId="0" fontId="14" fillId="2" borderId="20" xfId="0" applyFont="1" applyFill="1" applyBorder="1" applyAlignment="1">
      <alignment horizontal="left"/>
    </xf>
    <xf numFmtId="0" fontId="9" fillId="2" borderId="0" xfId="0" applyFont="1" applyFill="1"/>
    <xf numFmtId="0" fontId="13" fillId="3" borderId="18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20" fillId="2" borderId="63" xfId="0" applyFont="1" applyFill="1" applyBorder="1" applyAlignment="1">
      <alignment vertical="center"/>
    </xf>
    <xf numFmtId="0" fontId="20" fillId="2" borderId="65" xfId="0" applyFont="1" applyFill="1" applyBorder="1" applyAlignment="1">
      <alignment vertical="center"/>
    </xf>
    <xf numFmtId="0" fontId="20" fillId="2" borderId="101" xfId="0" applyFont="1" applyFill="1" applyBorder="1" applyAlignment="1">
      <alignment horizontal="left" vertical="center"/>
    </xf>
    <xf numFmtId="4" fontId="19" fillId="2" borderId="0" xfId="0" applyNumberFormat="1" applyFont="1" applyFill="1" applyBorder="1" applyAlignment="1">
      <alignment horizontal="left" vertical="center"/>
    </xf>
    <xf numFmtId="0" fontId="20" fillId="2" borderId="66" xfId="0" applyFont="1" applyFill="1" applyBorder="1" applyAlignment="1">
      <alignment vertical="center"/>
    </xf>
    <xf numFmtId="0" fontId="20" fillId="2" borderId="68" xfId="0" applyFont="1" applyFill="1" applyBorder="1" applyAlignment="1">
      <alignment vertical="center"/>
    </xf>
    <xf numFmtId="0" fontId="20" fillId="2" borderId="93" xfId="0" applyFont="1" applyFill="1" applyBorder="1" applyAlignment="1">
      <alignment vertical="center"/>
    </xf>
    <xf numFmtId="0" fontId="20" fillId="2" borderId="98" xfId="0" applyFont="1" applyFill="1" applyBorder="1" applyAlignment="1">
      <alignment vertical="center"/>
    </xf>
    <xf numFmtId="0" fontId="16" fillId="3" borderId="80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24" fillId="2" borderId="74" xfId="0" applyFont="1" applyFill="1" applyBorder="1" applyAlignment="1">
      <alignment horizontal="left"/>
    </xf>
    <xf numFmtId="4" fontId="43" fillId="6" borderId="121" xfId="0" applyNumberFormat="1" applyFont="1" applyFill="1" applyBorder="1"/>
    <xf numFmtId="0" fontId="13" fillId="2" borderId="9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4" fontId="13" fillId="2" borderId="15" xfId="0" applyNumberFormat="1" applyFont="1" applyFill="1" applyBorder="1" applyAlignment="1"/>
    <xf numFmtId="4" fontId="9" fillId="2" borderId="0" xfId="0" applyNumberFormat="1" applyFont="1" applyFill="1" applyBorder="1" applyAlignment="1">
      <alignment horizontal="right" vertical="center"/>
    </xf>
    <xf numFmtId="10" fontId="43" fillId="6" borderId="121" xfId="0" applyNumberFormat="1" applyFont="1" applyFill="1" applyBorder="1" applyAlignment="1">
      <alignment horizontal="right"/>
    </xf>
    <xf numFmtId="10" fontId="13" fillId="2" borderId="18" xfId="131" applyNumberFormat="1" applyFont="1" applyFill="1" applyBorder="1" applyAlignment="1">
      <alignment horizontal="right"/>
    </xf>
    <xf numFmtId="10" fontId="9" fillId="2" borderId="104" xfId="0" applyNumberFormat="1" applyFont="1" applyFill="1" applyBorder="1" applyAlignment="1">
      <alignment horizontal="right" vertical="center"/>
    </xf>
    <xf numFmtId="10" fontId="9" fillId="2" borderId="68" xfId="0" applyNumberFormat="1" applyFont="1" applyFill="1" applyBorder="1" applyAlignment="1">
      <alignment horizontal="right" vertical="center"/>
    </xf>
    <xf numFmtId="10" fontId="9" fillId="2" borderId="71" xfId="0" applyNumberFormat="1" applyFont="1" applyFill="1" applyBorder="1" applyAlignment="1">
      <alignment horizontal="right" vertical="center"/>
    </xf>
    <xf numFmtId="10" fontId="34" fillId="2" borderId="0" xfId="0" applyNumberFormat="1" applyFont="1" applyFill="1" applyBorder="1" applyAlignment="1">
      <alignment horizontal="right" vertical="center"/>
    </xf>
    <xf numFmtId="10" fontId="13" fillId="2" borderId="18" xfId="0" applyNumberFormat="1" applyFont="1" applyFill="1" applyBorder="1" applyAlignment="1">
      <alignment horizontal="right"/>
    </xf>
    <xf numFmtId="4" fontId="42" fillId="6" borderId="121" xfId="0" applyNumberFormat="1" applyFont="1" applyFill="1" applyBorder="1"/>
    <xf numFmtId="0" fontId="18" fillId="2" borderId="0" xfId="0" applyFont="1" applyFill="1" applyAlignment="1">
      <alignment horizontal="left"/>
    </xf>
    <xf numFmtId="0" fontId="42" fillId="6" borderId="0" xfId="0" applyFont="1" applyFill="1" applyBorder="1" applyAlignment="1">
      <alignment horizontal="left"/>
    </xf>
    <xf numFmtId="4" fontId="42" fillId="6" borderId="0" xfId="0" applyNumberFormat="1" applyFont="1" applyFill="1" applyBorder="1"/>
    <xf numFmtId="0" fontId="9" fillId="2" borderId="0" xfId="0" applyFont="1" applyFill="1" applyBorder="1" applyAlignment="1">
      <alignment vertical="center"/>
    </xf>
    <xf numFmtId="0" fontId="10" fillId="2" borderId="48" xfId="0" applyFont="1" applyFill="1" applyBorder="1"/>
    <xf numFmtId="4" fontId="24" fillId="2" borderId="124" xfId="0" applyNumberFormat="1" applyFont="1" applyFill="1" applyBorder="1"/>
    <xf numFmtId="4" fontId="27" fillId="2" borderId="125" xfId="0" applyNumberFormat="1" applyFont="1" applyFill="1" applyBorder="1"/>
    <xf numFmtId="0" fontId="27" fillId="3" borderId="61" xfId="0" applyFont="1" applyFill="1" applyBorder="1" applyAlignment="1">
      <alignment horizontal="center"/>
    </xf>
    <xf numFmtId="0" fontId="27" fillId="3" borderId="29" xfId="0" applyFont="1" applyFill="1" applyBorder="1" applyAlignment="1">
      <alignment horizontal="center"/>
    </xf>
    <xf numFmtId="0" fontId="24" fillId="2" borderId="29" xfId="0" applyFont="1" applyFill="1" applyBorder="1"/>
    <xf numFmtId="4" fontId="16" fillId="2" borderId="30" xfId="0" applyNumberFormat="1" applyFont="1" applyFill="1" applyBorder="1"/>
    <xf numFmtId="4" fontId="13" fillId="2" borderId="30" xfId="0" applyNumberFormat="1" applyFont="1" applyFill="1" applyBorder="1"/>
    <xf numFmtId="4" fontId="10" fillId="2" borderId="37" xfId="0" applyNumberFormat="1" applyFont="1" applyFill="1" applyBorder="1"/>
    <xf numFmtId="4" fontId="24" fillId="2" borderId="29" xfId="0" applyNumberFormat="1" applyFont="1" applyFill="1" applyBorder="1"/>
    <xf numFmtId="4" fontId="27" fillId="2" borderId="126" xfId="0" applyNumberFormat="1" applyFont="1" applyFill="1" applyBorder="1"/>
    <xf numFmtId="0" fontId="27" fillId="3" borderId="127" xfId="0" applyFont="1" applyFill="1" applyBorder="1" applyAlignment="1">
      <alignment horizontal="center"/>
    </xf>
    <xf numFmtId="0" fontId="24" fillId="2" borderId="127" xfId="0" applyFont="1" applyFill="1" applyBorder="1"/>
    <xf numFmtId="4" fontId="16" fillId="2" borderId="128" xfId="0" applyNumberFormat="1" applyFont="1" applyFill="1" applyBorder="1"/>
    <xf numFmtId="4" fontId="13" fillId="2" borderId="128" xfId="0" applyNumberFormat="1" applyFont="1" applyFill="1" applyBorder="1"/>
    <xf numFmtId="4" fontId="10" fillId="2" borderId="130" xfId="0" applyNumberFormat="1" applyFont="1" applyFill="1" applyBorder="1"/>
    <xf numFmtId="4" fontId="24" fillId="2" borderId="127" xfId="0" applyNumberFormat="1" applyFont="1" applyFill="1" applyBorder="1"/>
    <xf numFmtId="4" fontId="27" fillId="2" borderId="131" xfId="0" applyNumberFormat="1" applyFont="1" applyFill="1" applyBorder="1"/>
    <xf numFmtId="0" fontId="24" fillId="3" borderId="57" xfId="0" applyFont="1" applyFill="1" applyBorder="1"/>
    <xf numFmtId="0" fontId="24" fillId="3" borderId="58" xfId="0" applyFont="1" applyFill="1" applyBorder="1"/>
    <xf numFmtId="0" fontId="13" fillId="3" borderId="132" xfId="0" applyFont="1" applyFill="1" applyBorder="1" applyAlignment="1">
      <alignment horizontal="center"/>
    </xf>
    <xf numFmtId="0" fontId="13" fillId="3" borderId="133" xfId="0" applyFont="1" applyFill="1" applyBorder="1" applyAlignment="1">
      <alignment horizontal="center"/>
    </xf>
    <xf numFmtId="0" fontId="13" fillId="3" borderId="59" xfId="0" applyFont="1" applyFill="1" applyBorder="1" applyAlignment="1">
      <alignment horizontal="center"/>
    </xf>
    <xf numFmtId="0" fontId="17" fillId="3" borderId="60" xfId="0" applyFont="1" applyFill="1" applyBorder="1"/>
    <xf numFmtId="0" fontId="16" fillId="2" borderId="60" xfId="0" applyFont="1" applyFill="1" applyBorder="1" applyAlignment="1">
      <alignment horizontal="center"/>
    </xf>
    <xf numFmtId="0" fontId="24" fillId="2" borderId="61" xfId="0" applyFont="1" applyFill="1" applyBorder="1"/>
    <xf numFmtId="0" fontId="16" fillId="2" borderId="134" xfId="0" applyFont="1" applyFill="1" applyBorder="1" applyAlignment="1">
      <alignment horizontal="center"/>
    </xf>
    <xf numFmtId="4" fontId="16" fillId="2" borderId="135" xfId="0" applyNumberFormat="1" applyFont="1" applyFill="1" applyBorder="1"/>
    <xf numFmtId="0" fontId="13" fillId="2" borderId="134" xfId="0" applyFont="1" applyFill="1" applyBorder="1" applyAlignment="1">
      <alignment horizontal="center"/>
    </xf>
    <xf numFmtId="4" fontId="13" fillId="2" borderId="135" xfId="0" applyNumberFormat="1" applyFont="1" applyFill="1" applyBorder="1"/>
    <xf numFmtId="0" fontId="10" fillId="2" borderId="136" xfId="0" applyFont="1" applyFill="1" applyBorder="1" applyAlignment="1">
      <alignment horizontal="center"/>
    </xf>
    <xf numFmtId="0" fontId="10" fillId="2" borderId="138" xfId="0" applyFont="1" applyFill="1" applyBorder="1" applyAlignment="1">
      <alignment horizontal="center"/>
    </xf>
    <xf numFmtId="4" fontId="10" fillId="2" borderId="139" xfId="0" applyNumberFormat="1" applyFont="1" applyFill="1" applyBorder="1"/>
    <xf numFmtId="0" fontId="10" fillId="2" borderId="60" xfId="0" applyFont="1" applyFill="1" applyBorder="1" applyAlignment="1">
      <alignment horizontal="center"/>
    </xf>
    <xf numFmtId="0" fontId="28" fillId="2" borderId="60" xfId="0" applyFont="1" applyFill="1" applyBorder="1" applyAlignment="1">
      <alignment horizontal="center"/>
    </xf>
    <xf numFmtId="0" fontId="10" fillId="2" borderId="140" xfId="0" applyFont="1" applyFill="1" applyBorder="1" applyAlignment="1">
      <alignment horizontal="center"/>
    </xf>
    <xf numFmtId="0" fontId="10" fillId="2" borderId="141" xfId="0" applyFont="1" applyFill="1" applyBorder="1"/>
    <xf numFmtId="0" fontId="27" fillId="2" borderId="145" xfId="0" applyFont="1" applyFill="1" applyBorder="1" applyAlignment="1">
      <alignment horizontal="left"/>
    </xf>
    <xf numFmtId="0" fontId="13" fillId="2" borderId="60" xfId="0" applyFont="1" applyFill="1" applyBorder="1" applyAlignment="1">
      <alignment horizontal="center"/>
    </xf>
    <xf numFmtId="0" fontId="26" fillId="2" borderId="60" xfId="0" applyFont="1" applyFill="1" applyBorder="1" applyAlignment="1">
      <alignment horizontal="center"/>
    </xf>
    <xf numFmtId="0" fontId="10" fillId="2" borderId="146" xfId="0" applyFont="1" applyFill="1" applyBorder="1" applyAlignment="1">
      <alignment horizontal="center"/>
    </xf>
    <xf numFmtId="0" fontId="16" fillId="2" borderId="147" xfId="0" applyFont="1" applyFill="1" applyBorder="1" applyAlignment="1">
      <alignment horizontal="center"/>
    </xf>
    <xf numFmtId="2" fontId="10" fillId="2" borderId="148" xfId="0" applyNumberFormat="1" applyFont="1" applyFill="1" applyBorder="1" applyAlignment="1">
      <alignment horizontal="center"/>
    </xf>
    <xf numFmtId="0" fontId="16" fillId="2" borderId="145" xfId="0" applyFont="1" applyFill="1" applyBorder="1" applyAlignment="1">
      <alignment horizontal="center"/>
    </xf>
    <xf numFmtId="0" fontId="27" fillId="2" borderId="145" xfId="0" applyFont="1" applyFill="1" applyBorder="1" applyAlignment="1">
      <alignment horizontal="center"/>
    </xf>
    <xf numFmtId="4" fontId="16" fillId="2" borderId="149" xfId="0" applyNumberFormat="1" applyFont="1" applyFill="1" applyBorder="1"/>
    <xf numFmtId="4" fontId="10" fillId="2" borderId="150" xfId="0" applyNumberFormat="1" applyFont="1" applyFill="1" applyBorder="1"/>
    <xf numFmtId="2" fontId="24" fillId="2" borderId="151" xfId="0" applyNumberFormat="1" applyFont="1" applyFill="1" applyBorder="1"/>
    <xf numFmtId="4" fontId="16" fillId="2" borderId="41" xfId="0" applyNumberFormat="1" applyFont="1" applyFill="1" applyBorder="1"/>
    <xf numFmtId="0" fontId="9" fillId="2" borderId="0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11" xfId="0" applyFont="1" applyFill="1" applyBorder="1"/>
    <xf numFmtId="0" fontId="9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3" xfId="0" applyFont="1" applyFill="1" applyBorder="1"/>
    <xf numFmtId="165" fontId="9" fillId="2" borderId="0" xfId="0" applyNumberFormat="1" applyFont="1" applyFill="1" applyAlignment="1">
      <alignment horizontal="center"/>
    </xf>
    <xf numFmtId="0" fontId="19" fillId="3" borderId="28" xfId="0" applyFont="1" applyFill="1" applyBorder="1" applyAlignment="1">
      <alignment horizontal="center" vertical="center"/>
    </xf>
    <xf numFmtId="0" fontId="25" fillId="3" borderId="28" xfId="0" applyFont="1" applyFill="1" applyBorder="1" applyAlignment="1">
      <alignment horizontal="center" vertical="center"/>
    </xf>
    <xf numFmtId="4" fontId="19" fillId="3" borderId="31" xfId="0" applyNumberFormat="1" applyFont="1" applyFill="1" applyBorder="1" applyAlignment="1">
      <alignment horizontal="left" vertical="center"/>
    </xf>
    <xf numFmtId="0" fontId="10" fillId="3" borderId="32" xfId="0" applyFont="1" applyFill="1" applyBorder="1" applyAlignment="1">
      <alignment horizontal="left" vertical="center"/>
    </xf>
    <xf numFmtId="4" fontId="19" fillId="3" borderId="32" xfId="0" applyNumberFormat="1" applyFont="1" applyFill="1" applyBorder="1" applyAlignment="1">
      <alignment horizontal="right" vertical="center"/>
    </xf>
    <xf numFmtId="0" fontId="19" fillId="3" borderId="32" xfId="0" applyFont="1" applyFill="1" applyBorder="1" applyAlignment="1">
      <alignment horizontal="left" vertical="center"/>
    </xf>
    <xf numFmtId="0" fontId="19" fillId="3" borderId="29" xfId="0" applyFont="1" applyFill="1" applyBorder="1" applyAlignment="1">
      <alignment horizontal="center" vertical="center"/>
    </xf>
    <xf numFmtId="0" fontId="25" fillId="3" borderId="29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left"/>
    </xf>
    <xf numFmtId="0" fontId="20" fillId="3" borderId="21" xfId="0" applyFont="1" applyFill="1" applyBorder="1" applyAlignment="1">
      <alignment horizontal="left"/>
    </xf>
    <xf numFmtId="0" fontId="20" fillId="3" borderId="35" xfId="0" applyFont="1" applyFill="1" applyBorder="1" applyAlignment="1">
      <alignment horizontal="left"/>
    </xf>
    <xf numFmtId="0" fontId="19" fillId="3" borderId="30" xfId="0" applyFont="1" applyFill="1" applyBorder="1" applyAlignment="1">
      <alignment horizontal="center" vertical="center"/>
    </xf>
    <xf numFmtId="0" fontId="24" fillId="2" borderId="157" xfId="0" applyFont="1" applyFill="1" applyBorder="1"/>
    <xf numFmtId="0" fontId="24" fillId="2" borderId="158" xfId="0" applyFont="1" applyFill="1" applyBorder="1"/>
    <xf numFmtId="0" fontId="16" fillId="2" borderId="159" xfId="0" applyFont="1" applyFill="1" applyBorder="1" applyAlignment="1">
      <alignment horizontal="left"/>
    </xf>
    <xf numFmtId="0" fontId="13" fillId="2" borderId="160" xfId="0" applyFont="1" applyFill="1" applyBorder="1" applyAlignment="1">
      <alignment horizontal="left"/>
    </xf>
    <xf numFmtId="0" fontId="10" fillId="2" borderId="159" xfId="0" applyFont="1" applyFill="1" applyBorder="1"/>
    <xf numFmtId="0" fontId="16" fillId="2" borderId="161" xfId="0" applyFont="1" applyFill="1" applyBorder="1" applyAlignment="1">
      <alignment horizontal="left"/>
    </xf>
    <xf numFmtId="0" fontId="28" fillId="2" borderId="159" xfId="0" applyFont="1" applyFill="1" applyBorder="1"/>
    <xf numFmtId="0" fontId="24" fillId="2" borderId="162" xfId="0" applyFont="1" applyFill="1" applyBorder="1"/>
    <xf numFmtId="0" fontId="24" fillId="2" borderId="163" xfId="0" applyFont="1" applyFill="1" applyBorder="1"/>
    <xf numFmtId="4" fontId="13" fillId="2" borderId="164" xfId="0" applyNumberFormat="1" applyFont="1" applyFill="1" applyBorder="1" applyAlignment="1">
      <alignment horizontal="center"/>
    </xf>
    <xf numFmtId="0" fontId="27" fillId="2" borderId="165" xfId="0" applyFont="1" applyFill="1" applyBorder="1" applyAlignment="1">
      <alignment horizontal="center"/>
    </xf>
    <xf numFmtId="4" fontId="24" fillId="2" borderId="166" xfId="0" applyNumberFormat="1" applyFont="1" applyFill="1" applyBorder="1"/>
    <xf numFmtId="4" fontId="13" fillId="2" borderId="167" xfId="0" applyNumberFormat="1" applyFont="1" applyFill="1" applyBorder="1"/>
    <xf numFmtId="4" fontId="10" fillId="2" borderId="168" xfId="0" applyNumberFormat="1" applyFont="1" applyFill="1" applyBorder="1"/>
    <xf numFmtId="4" fontId="16" fillId="2" borderId="169" xfId="0" applyNumberFormat="1" applyFont="1" applyFill="1" applyBorder="1"/>
    <xf numFmtId="4" fontId="10" fillId="2" borderId="170" xfId="0" applyNumberFormat="1" applyFont="1" applyFill="1" applyBorder="1"/>
    <xf numFmtId="0" fontId="16" fillId="2" borderId="171" xfId="0" applyFont="1" applyFill="1" applyBorder="1" applyAlignment="1">
      <alignment horizontal="left"/>
    </xf>
    <xf numFmtId="0" fontId="27" fillId="2" borderId="172" xfId="0" applyFont="1" applyFill="1" applyBorder="1" applyAlignment="1">
      <alignment horizontal="left"/>
    </xf>
    <xf numFmtId="4" fontId="16" fillId="2" borderId="156" xfId="0" applyNumberFormat="1" applyFont="1" applyFill="1" applyBorder="1"/>
    <xf numFmtId="0" fontId="9" fillId="2" borderId="0" xfId="0" applyFont="1" applyFill="1" applyBorder="1" applyAlignment="1"/>
    <xf numFmtId="0" fontId="8" fillId="2" borderId="0" xfId="0" applyFont="1" applyFill="1"/>
    <xf numFmtId="0" fontId="24" fillId="0" borderId="6" xfId="0" applyFont="1" applyFill="1" applyBorder="1" applyAlignment="1" applyProtection="1">
      <alignment horizontal="left"/>
      <protection locked="0"/>
    </xf>
    <xf numFmtId="0" fontId="24" fillId="0" borderId="7" xfId="0" applyFont="1" applyFill="1" applyBorder="1" applyAlignment="1" applyProtection="1">
      <alignment horizontal="left"/>
      <protection locked="0"/>
    </xf>
    <xf numFmtId="0" fontId="24" fillId="0" borderId="8" xfId="0" applyFont="1" applyFill="1" applyBorder="1" applyAlignment="1" applyProtection="1">
      <alignment horizontal="left"/>
      <protection locked="0"/>
    </xf>
    <xf numFmtId="0" fontId="24" fillId="0" borderId="9" xfId="0" applyFont="1" applyFill="1" applyBorder="1" applyAlignment="1" applyProtection="1">
      <alignment horizontal="left"/>
      <protection locked="0"/>
    </xf>
    <xf numFmtId="0" fontId="13" fillId="0" borderId="0" xfId="0" applyFont="1" applyFill="1" applyBorder="1" applyAlignment="1" applyProtection="1">
      <alignment horizontal="left"/>
      <protection locked="0"/>
    </xf>
    <xf numFmtId="0" fontId="24" fillId="0" borderId="0" xfId="0" applyFont="1" applyFill="1" applyBorder="1" applyAlignment="1" applyProtection="1">
      <alignment horizontal="left"/>
      <protection locked="0"/>
    </xf>
    <xf numFmtId="0" fontId="24" fillId="0" borderId="10" xfId="0" applyFont="1" applyFill="1" applyBorder="1" applyAlignment="1" applyProtection="1">
      <alignment horizontal="left"/>
      <protection locked="0"/>
    </xf>
    <xf numFmtId="0" fontId="8" fillId="0" borderId="9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8" fillId="0" borderId="10" xfId="0" applyFont="1" applyFill="1" applyBorder="1" applyAlignment="1" applyProtection="1">
      <alignment horizontal="left"/>
      <protection locked="0"/>
    </xf>
    <xf numFmtId="0" fontId="16" fillId="0" borderId="9" xfId="0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6" fillId="0" borderId="10" xfId="0" applyFont="1" applyFill="1" applyBorder="1" applyAlignment="1" applyProtection="1">
      <alignment horizontal="left" vertical="center"/>
      <protection locked="0"/>
    </xf>
    <xf numFmtId="0" fontId="25" fillId="0" borderId="9" xfId="0" applyFont="1" applyFill="1" applyBorder="1" applyAlignment="1" applyProtection="1">
      <alignment horizontal="left"/>
      <protection locked="0"/>
    </xf>
    <xf numFmtId="0" fontId="25" fillId="0" borderId="0" xfId="0" applyFont="1" applyFill="1" applyBorder="1" applyAlignment="1" applyProtection="1">
      <alignment horizontal="left"/>
      <protection locked="0"/>
    </xf>
    <xf numFmtId="0" fontId="25" fillId="0" borderId="10" xfId="0" applyFont="1" applyFill="1" applyBorder="1" applyAlignment="1" applyProtection="1">
      <alignment horizontal="left"/>
      <protection locked="0"/>
    </xf>
    <xf numFmtId="0" fontId="24" fillId="0" borderId="9" xfId="0" applyFont="1" applyFill="1" applyBorder="1" applyAlignment="1" applyProtection="1">
      <alignment horizontal="left" vertical="center"/>
      <protection locked="0"/>
    </xf>
    <xf numFmtId="0" fontId="24" fillId="0" borderId="0" xfId="0" applyFont="1" applyFill="1" applyBorder="1" applyAlignment="1" applyProtection="1">
      <alignment horizontal="left" vertical="center"/>
      <protection locked="0"/>
    </xf>
    <xf numFmtId="0" fontId="24" fillId="0" borderId="10" xfId="0" applyFont="1" applyFill="1" applyBorder="1" applyAlignment="1" applyProtection="1">
      <alignment horizontal="left" vertical="center"/>
      <protection locked="0"/>
    </xf>
    <xf numFmtId="0" fontId="24" fillId="0" borderId="11" xfId="0" applyFont="1" applyFill="1" applyBorder="1" applyAlignment="1" applyProtection="1">
      <alignment horizontal="left"/>
      <protection locked="0"/>
    </xf>
    <xf numFmtId="0" fontId="24" fillId="0" borderId="12" xfId="0" applyFont="1" applyFill="1" applyBorder="1" applyAlignment="1" applyProtection="1">
      <alignment horizontal="left"/>
      <protection locked="0"/>
    </xf>
    <xf numFmtId="0" fontId="24" fillId="0" borderId="13" xfId="0" applyFont="1" applyFill="1" applyBorder="1" applyAlignment="1" applyProtection="1">
      <alignment horizontal="left"/>
      <protection locked="0"/>
    </xf>
    <xf numFmtId="0" fontId="21" fillId="0" borderId="173" xfId="0" applyFont="1" applyBorder="1" applyAlignment="1" applyProtection="1">
      <alignment horizontal="left"/>
      <protection locked="0"/>
    </xf>
    <xf numFmtId="0" fontId="21" fillId="0" borderId="174" xfId="0" applyFont="1" applyBorder="1" applyAlignment="1" applyProtection="1">
      <alignment horizontal="left"/>
      <protection locked="0"/>
    </xf>
    <xf numFmtId="0" fontId="21" fillId="0" borderId="175" xfId="0" applyFont="1" applyBorder="1" applyAlignment="1" applyProtection="1">
      <alignment horizontal="left"/>
      <protection locked="0"/>
    </xf>
    <xf numFmtId="0" fontId="21" fillId="0" borderId="176" xfId="0" applyFont="1" applyBorder="1" applyAlignment="1" applyProtection="1">
      <alignment horizontal="left"/>
      <protection locked="0"/>
    </xf>
    <xf numFmtId="0" fontId="21" fillId="0" borderId="177" xfId="0" applyFont="1" applyBorder="1" applyAlignment="1" applyProtection="1">
      <alignment horizontal="left"/>
      <protection locked="0"/>
    </xf>
    <xf numFmtId="0" fontId="21" fillId="0" borderId="178" xfId="0" applyFont="1" applyBorder="1" applyAlignment="1" applyProtection="1">
      <alignment horizontal="left"/>
      <protection locked="0"/>
    </xf>
    <xf numFmtId="0" fontId="21" fillId="0" borderId="179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1" fillId="0" borderId="180" xfId="0" applyFont="1" applyBorder="1" applyAlignment="1" applyProtection="1">
      <alignment horizontal="left"/>
      <protection locked="0"/>
    </xf>
    <xf numFmtId="0" fontId="14" fillId="2" borderId="3" xfId="0" applyFont="1" applyFill="1" applyBorder="1" applyProtection="1">
      <protection locked="0"/>
    </xf>
    <xf numFmtId="165" fontId="20" fillId="2" borderId="4" xfId="0" applyNumberFormat="1" applyFont="1" applyFill="1" applyBorder="1" applyAlignment="1" applyProtection="1">
      <alignment horizontal="center"/>
      <protection locked="0"/>
    </xf>
    <xf numFmtId="165" fontId="20" fillId="2" borderId="5" xfId="0" applyNumberFormat="1" applyFont="1" applyFill="1" applyBorder="1" applyAlignment="1" applyProtection="1">
      <alignment horizontal="center"/>
      <protection locked="0"/>
    </xf>
    <xf numFmtId="165" fontId="20" fillId="2" borderId="2" xfId="0" applyNumberFormat="1" applyFont="1" applyFill="1" applyBorder="1" applyAlignment="1" applyProtection="1">
      <alignment horizontal="center"/>
      <protection locked="0"/>
    </xf>
    <xf numFmtId="0" fontId="24" fillId="2" borderId="4" xfId="0" applyFont="1" applyFill="1" applyBorder="1" applyProtection="1">
      <protection locked="0"/>
    </xf>
    <xf numFmtId="10" fontId="24" fillId="2" borderId="4" xfId="0" applyNumberFormat="1" applyFont="1" applyFill="1" applyBorder="1" applyAlignment="1" applyProtection="1">
      <alignment horizontal="center"/>
      <protection locked="0"/>
    </xf>
    <xf numFmtId="3" fontId="24" fillId="2" borderId="4" xfId="0" applyNumberFormat="1" applyFont="1" applyFill="1" applyBorder="1" applyProtection="1">
      <protection locked="0"/>
    </xf>
    <xf numFmtId="4" fontId="24" fillId="2" borderId="4" xfId="0" applyNumberFormat="1" applyFont="1" applyFill="1" applyBorder="1" applyProtection="1">
      <protection locked="0"/>
    </xf>
    <xf numFmtId="0" fontId="24" fillId="2" borderId="5" xfId="0" applyFont="1" applyFill="1" applyBorder="1" applyProtection="1">
      <protection locked="0"/>
    </xf>
    <xf numFmtId="10" fontId="24" fillId="2" borderId="5" xfId="0" applyNumberFormat="1" applyFont="1" applyFill="1" applyBorder="1" applyAlignment="1" applyProtection="1">
      <alignment horizontal="center"/>
      <protection locked="0"/>
    </xf>
    <xf numFmtId="3" fontId="24" fillId="2" borderId="5" xfId="0" applyNumberFormat="1" applyFont="1" applyFill="1" applyBorder="1" applyProtection="1">
      <protection locked="0"/>
    </xf>
    <xf numFmtId="4" fontId="24" fillId="2" borderId="5" xfId="0" applyNumberFormat="1" applyFont="1" applyFill="1" applyBorder="1" applyProtection="1">
      <protection locked="0"/>
    </xf>
    <xf numFmtId="4" fontId="10" fillId="2" borderId="44" xfId="0" applyNumberFormat="1" applyFont="1" applyFill="1" applyBorder="1" applyProtection="1">
      <protection locked="0"/>
    </xf>
    <xf numFmtId="4" fontId="10" fillId="2" borderId="45" xfId="0" applyNumberFormat="1" applyFont="1" applyFill="1" applyBorder="1" applyProtection="1">
      <protection locked="0"/>
    </xf>
    <xf numFmtId="4" fontId="13" fillId="2" borderId="43" xfId="0" applyNumberFormat="1" applyFont="1" applyFill="1" applyBorder="1" applyProtection="1">
      <protection locked="0"/>
    </xf>
    <xf numFmtId="4" fontId="10" fillId="2" borderId="150" xfId="0" applyNumberFormat="1" applyFont="1" applyFill="1" applyBorder="1" applyProtection="1">
      <protection locked="0"/>
    </xf>
    <xf numFmtId="4" fontId="10" fillId="2" borderId="36" xfId="0" applyNumberFormat="1" applyFont="1" applyFill="1" applyBorder="1" applyProtection="1">
      <protection locked="0"/>
    </xf>
    <xf numFmtId="4" fontId="10" fillId="2" borderId="129" xfId="0" applyNumberFormat="1" applyFont="1" applyFill="1" applyBorder="1" applyProtection="1">
      <protection locked="0"/>
    </xf>
    <xf numFmtId="4" fontId="10" fillId="2" borderId="137" xfId="0" applyNumberFormat="1" applyFont="1" applyFill="1" applyBorder="1" applyProtection="1">
      <protection locked="0"/>
    </xf>
    <xf numFmtId="4" fontId="10" fillId="2" borderId="37" xfId="0" applyNumberFormat="1" applyFont="1" applyFill="1" applyBorder="1" applyProtection="1">
      <protection locked="0"/>
    </xf>
    <xf numFmtId="4" fontId="10" fillId="2" borderId="130" xfId="0" applyNumberFormat="1" applyFont="1" applyFill="1" applyBorder="1" applyProtection="1">
      <protection locked="0"/>
    </xf>
    <xf numFmtId="4" fontId="10" fillId="2" borderId="139" xfId="0" applyNumberFormat="1" applyFont="1" applyFill="1" applyBorder="1" applyProtection="1">
      <protection locked="0"/>
    </xf>
    <xf numFmtId="4" fontId="13" fillId="2" borderId="30" xfId="0" applyNumberFormat="1" applyFont="1" applyFill="1" applyBorder="1" applyProtection="1">
      <protection locked="0"/>
    </xf>
    <xf numFmtId="4" fontId="13" fillId="2" borderId="128" xfId="0" applyNumberFormat="1" applyFont="1" applyFill="1" applyBorder="1" applyProtection="1">
      <protection locked="0"/>
    </xf>
    <xf numFmtId="4" fontId="13" fillId="2" borderId="135" xfId="0" applyNumberFormat="1" applyFont="1" applyFill="1" applyBorder="1" applyProtection="1">
      <protection locked="0"/>
    </xf>
    <xf numFmtId="4" fontId="10" fillId="2" borderId="142" xfId="0" applyNumberFormat="1" applyFont="1" applyFill="1" applyBorder="1" applyProtection="1">
      <protection locked="0"/>
    </xf>
    <xf numFmtId="4" fontId="10" fillId="2" borderId="143" xfId="0" applyNumberFormat="1" applyFont="1" applyFill="1" applyBorder="1" applyProtection="1">
      <protection locked="0"/>
    </xf>
    <xf numFmtId="4" fontId="10" fillId="2" borderId="144" xfId="0" applyNumberFormat="1" applyFont="1" applyFill="1" applyBorder="1" applyProtection="1">
      <protection locked="0"/>
    </xf>
    <xf numFmtId="4" fontId="10" fillId="2" borderId="52" xfId="0" applyNumberFormat="1" applyFont="1" applyFill="1" applyBorder="1" applyProtection="1">
      <protection locked="0"/>
    </xf>
    <xf numFmtId="4" fontId="10" fillId="2" borderId="54" xfId="0" applyNumberFormat="1" applyFont="1" applyFill="1" applyBorder="1" applyProtection="1">
      <protection locked="0"/>
    </xf>
    <xf numFmtId="4" fontId="13" fillId="2" borderId="50" xfId="0" applyNumberFormat="1" applyFont="1" applyFill="1" applyBorder="1" applyProtection="1">
      <protection locked="0"/>
    </xf>
    <xf numFmtId="4" fontId="28" fillId="2" borderId="42" xfId="0" applyNumberFormat="1" applyFont="1" applyFill="1" applyBorder="1" applyProtection="1">
      <protection locked="0"/>
    </xf>
    <xf numFmtId="4" fontId="28" fillId="2" borderId="49" xfId="0" applyNumberFormat="1" applyFont="1" applyFill="1" applyBorder="1" applyProtection="1">
      <protection locked="0"/>
    </xf>
    <xf numFmtId="4" fontId="10" fillId="2" borderId="168" xfId="0" applyNumberFormat="1" applyFont="1" applyFill="1" applyBorder="1" applyProtection="1">
      <protection locked="0"/>
    </xf>
    <xf numFmtId="4" fontId="28" fillId="2" borderId="166" xfId="0" applyNumberFormat="1" applyFont="1" applyFill="1" applyBorder="1" applyProtection="1">
      <protection locked="0"/>
    </xf>
    <xf numFmtId="4" fontId="16" fillId="2" borderId="156" xfId="0" applyNumberFormat="1" applyFont="1" applyFill="1" applyBorder="1" applyProtection="1">
      <protection locked="0"/>
    </xf>
    <xf numFmtId="0" fontId="10" fillId="2" borderId="36" xfId="0" applyFont="1" applyFill="1" applyBorder="1" applyAlignment="1" applyProtection="1">
      <alignment horizontal="center" vertical="center"/>
      <protection locked="0"/>
    </xf>
    <xf numFmtId="3" fontId="10" fillId="2" borderId="36" xfId="0" applyNumberFormat="1" applyFont="1" applyFill="1" applyBorder="1" applyAlignment="1" applyProtection="1">
      <alignment horizontal="center" vertical="center"/>
      <protection locked="0"/>
    </xf>
    <xf numFmtId="4" fontId="10" fillId="2" borderId="36" xfId="0" applyNumberFormat="1" applyFont="1" applyFill="1" applyBorder="1" applyAlignment="1" applyProtection="1">
      <alignment vertical="center"/>
      <protection locked="0"/>
    </xf>
    <xf numFmtId="0" fontId="10" fillId="2" borderId="37" xfId="0" applyFont="1" applyFill="1" applyBorder="1" applyAlignment="1" applyProtection="1">
      <alignment horizontal="center" vertical="center"/>
      <protection locked="0"/>
    </xf>
    <xf numFmtId="0" fontId="10" fillId="2" borderId="37" xfId="0" applyFont="1" applyFill="1" applyBorder="1" applyAlignment="1" applyProtection="1">
      <alignment vertical="center"/>
      <protection locked="0"/>
    </xf>
    <xf numFmtId="3" fontId="10" fillId="2" borderId="37" xfId="0" applyNumberFormat="1" applyFont="1" applyFill="1" applyBorder="1" applyAlignment="1" applyProtection="1">
      <alignment horizontal="center" vertical="center"/>
      <protection locked="0"/>
    </xf>
    <xf numFmtId="4" fontId="10" fillId="2" borderId="37" xfId="0" applyNumberFormat="1" applyFont="1" applyFill="1" applyBorder="1" applyAlignment="1" applyProtection="1">
      <alignment vertical="center"/>
      <protection locked="0"/>
    </xf>
    <xf numFmtId="4" fontId="13" fillId="2" borderId="77" xfId="0" applyNumberFormat="1" applyFont="1" applyFill="1" applyBorder="1" applyAlignment="1" applyProtection="1">
      <alignment vertical="center"/>
      <protection locked="0"/>
    </xf>
    <xf numFmtId="4" fontId="9" fillId="2" borderId="81" xfId="0" applyNumberFormat="1" applyFont="1" applyFill="1" applyBorder="1" applyAlignment="1" applyProtection="1">
      <alignment vertical="center"/>
      <protection locked="0"/>
    </xf>
    <xf numFmtId="4" fontId="9" fillId="2" borderId="82" xfId="0" applyNumberFormat="1" applyFont="1" applyFill="1" applyBorder="1" applyAlignment="1" applyProtection="1">
      <alignment vertical="center"/>
      <protection locked="0"/>
    </xf>
    <xf numFmtId="4" fontId="9" fillId="2" borderId="83" xfId="0" applyNumberFormat="1" applyFont="1" applyFill="1" applyBorder="1" applyAlignment="1" applyProtection="1">
      <alignment vertical="center"/>
      <protection locked="0"/>
    </xf>
    <xf numFmtId="4" fontId="13" fillId="2" borderId="78" xfId="0" applyNumberFormat="1" applyFont="1" applyFill="1" applyBorder="1" applyAlignment="1" applyProtection="1">
      <alignment vertical="center"/>
      <protection locked="0"/>
    </xf>
    <xf numFmtId="4" fontId="9" fillId="2" borderId="84" xfId="0" applyNumberFormat="1" applyFont="1" applyFill="1" applyBorder="1" applyAlignment="1" applyProtection="1">
      <alignment vertical="center"/>
      <protection locked="0"/>
    </xf>
    <xf numFmtId="4" fontId="9" fillId="2" borderId="85" xfId="0" applyNumberFormat="1" applyFont="1" applyFill="1" applyBorder="1" applyAlignment="1" applyProtection="1">
      <alignment vertical="center"/>
      <protection locked="0"/>
    </xf>
    <xf numFmtId="4" fontId="9" fillId="2" borderId="86" xfId="0" applyNumberFormat="1" applyFont="1" applyFill="1" applyBorder="1" applyAlignment="1" applyProtection="1">
      <alignment vertical="center"/>
      <protection locked="0"/>
    </xf>
    <xf numFmtId="4" fontId="13" fillId="2" borderId="79" xfId="0" applyNumberFormat="1" applyFont="1" applyFill="1" applyBorder="1" applyAlignment="1" applyProtection="1">
      <alignment vertical="center"/>
      <protection locked="0"/>
    </xf>
    <xf numFmtId="4" fontId="9" fillId="2" borderId="87" xfId="0" applyNumberFormat="1" applyFont="1" applyFill="1" applyBorder="1" applyAlignment="1" applyProtection="1">
      <alignment vertical="center"/>
      <protection locked="0"/>
    </xf>
    <xf numFmtId="4" fontId="9" fillId="2" borderId="88" xfId="0" applyNumberFormat="1" applyFont="1" applyFill="1" applyBorder="1" applyAlignment="1" applyProtection="1">
      <alignment vertical="center"/>
      <protection locked="0"/>
    </xf>
    <xf numFmtId="4" fontId="9" fillId="2" borderId="89" xfId="0" applyNumberFormat="1" applyFont="1" applyFill="1" applyBorder="1" applyAlignment="1" applyProtection="1">
      <alignment vertical="center"/>
      <protection locked="0"/>
    </xf>
    <xf numFmtId="4" fontId="9" fillId="2" borderId="102" xfId="0" applyNumberFormat="1" applyFont="1" applyFill="1" applyBorder="1" applyAlignment="1" applyProtection="1">
      <alignment vertical="center"/>
      <protection locked="0"/>
    </xf>
    <xf numFmtId="4" fontId="9" fillId="2" borderId="103" xfId="0" applyNumberFormat="1" applyFont="1" applyFill="1" applyBorder="1" applyAlignment="1" applyProtection="1">
      <alignment vertical="center"/>
      <protection locked="0"/>
    </xf>
    <xf numFmtId="4" fontId="9" fillId="2" borderId="96" xfId="0" applyNumberFormat="1" applyFont="1" applyFill="1" applyBorder="1" applyAlignment="1" applyProtection="1">
      <alignment vertical="center"/>
      <protection locked="0"/>
    </xf>
    <xf numFmtId="4" fontId="9" fillId="2" borderId="97" xfId="0" applyNumberFormat="1" applyFont="1" applyFill="1" applyBorder="1" applyAlignment="1" applyProtection="1">
      <alignment vertical="center"/>
      <protection locked="0"/>
    </xf>
    <xf numFmtId="0" fontId="9" fillId="2" borderId="69" xfId="0" applyFont="1" applyFill="1" applyBorder="1" applyAlignment="1" applyProtection="1">
      <alignment horizontal="left" vertical="center"/>
      <protection locked="0"/>
    </xf>
    <xf numFmtId="0" fontId="9" fillId="2" borderId="71" xfId="0" applyFont="1" applyFill="1" applyBorder="1" applyAlignment="1" applyProtection="1">
      <alignment horizontal="left" vertical="center"/>
      <protection locked="0"/>
    </xf>
    <xf numFmtId="4" fontId="9" fillId="2" borderId="68" xfId="0" applyNumberFormat="1" applyFont="1" applyFill="1" applyBorder="1" applyAlignment="1" applyProtection="1">
      <alignment horizontal="left" vertical="center"/>
      <protection locked="0"/>
    </xf>
    <xf numFmtId="4" fontId="9" fillId="2" borderId="98" xfId="0" applyNumberFormat="1" applyFont="1" applyFill="1" applyBorder="1" applyAlignment="1" applyProtection="1">
      <alignment horizontal="left" vertical="center"/>
      <protection locked="0"/>
    </xf>
    <xf numFmtId="10" fontId="8" fillId="2" borderId="104" xfId="131" applyNumberFormat="1" applyFont="1" applyFill="1" applyBorder="1" applyAlignment="1" applyProtection="1">
      <alignment vertical="center"/>
      <protection locked="0"/>
    </xf>
    <xf numFmtId="4" fontId="8" fillId="2" borderId="104" xfId="0" applyNumberFormat="1" applyFont="1" applyFill="1" applyBorder="1" applyAlignment="1" applyProtection="1">
      <alignment vertical="center"/>
      <protection locked="0"/>
    </xf>
    <xf numFmtId="10" fontId="8" fillId="2" borderId="68" xfId="131" applyNumberFormat="1" applyFont="1" applyFill="1" applyBorder="1" applyAlignment="1" applyProtection="1">
      <alignment vertical="center"/>
      <protection locked="0"/>
    </xf>
    <xf numFmtId="4" fontId="8" fillId="2" borderId="68" xfId="0" applyNumberFormat="1" applyFont="1" applyFill="1" applyBorder="1" applyAlignment="1" applyProtection="1">
      <alignment vertical="center"/>
      <protection locked="0"/>
    </xf>
    <xf numFmtId="10" fontId="8" fillId="2" borderId="98" xfId="131" applyNumberFormat="1" applyFont="1" applyFill="1" applyBorder="1" applyAlignment="1" applyProtection="1">
      <alignment vertical="center"/>
      <protection locked="0"/>
    </xf>
    <xf numFmtId="4" fontId="8" fillId="2" borderId="98" xfId="0" applyNumberFormat="1" applyFont="1" applyFill="1" applyBorder="1" applyAlignment="1" applyProtection="1">
      <alignment vertical="center"/>
      <protection locked="0"/>
    </xf>
    <xf numFmtId="10" fontId="8" fillId="2" borderId="71" xfId="131" applyNumberFormat="1" applyFont="1" applyFill="1" applyBorder="1" applyAlignment="1" applyProtection="1">
      <alignment vertical="center"/>
      <protection locked="0"/>
    </xf>
    <xf numFmtId="4" fontId="8" fillId="2" borderId="71" xfId="0" applyNumberFormat="1" applyFont="1" applyFill="1" applyBorder="1" applyAlignment="1" applyProtection="1">
      <alignment vertical="center"/>
      <protection locked="0"/>
    </xf>
    <xf numFmtId="10" fontId="13" fillId="2" borderId="75" xfId="131" applyNumberFormat="1" applyFont="1" applyFill="1" applyBorder="1" applyAlignment="1">
      <alignment vertical="center"/>
    </xf>
    <xf numFmtId="4" fontId="13" fillId="2" borderId="105" xfId="0" applyNumberFormat="1" applyFont="1" applyFill="1" applyBorder="1" applyAlignment="1" applyProtection="1">
      <alignment vertical="center"/>
      <protection locked="0"/>
    </xf>
    <xf numFmtId="4" fontId="9" fillId="2" borderId="77" xfId="0" applyNumberFormat="1" applyFont="1" applyFill="1" applyBorder="1" applyAlignment="1" applyProtection="1">
      <alignment vertical="center"/>
      <protection locked="0"/>
    </xf>
    <xf numFmtId="4" fontId="9" fillId="2" borderId="65" xfId="0" applyNumberFormat="1" applyFont="1" applyFill="1" applyBorder="1" applyAlignment="1" applyProtection="1">
      <alignment horizontal="left" vertical="center"/>
      <protection locked="0"/>
    </xf>
    <xf numFmtId="4" fontId="9" fillId="2" borderId="101" xfId="0" applyNumberFormat="1" applyFont="1" applyFill="1" applyBorder="1" applyAlignment="1" applyProtection="1">
      <alignment vertical="center"/>
      <protection locked="0"/>
    </xf>
    <xf numFmtId="4" fontId="9" fillId="2" borderId="78" xfId="0" applyNumberFormat="1" applyFont="1" applyFill="1" applyBorder="1" applyAlignment="1" applyProtection="1">
      <alignment vertical="center"/>
      <protection locked="0"/>
    </xf>
    <xf numFmtId="4" fontId="9" fillId="2" borderId="95" xfId="0" applyNumberFormat="1" applyFont="1" applyFill="1" applyBorder="1" applyAlignment="1" applyProtection="1">
      <alignment vertical="center"/>
      <protection locked="0"/>
    </xf>
    <xf numFmtId="4" fontId="9" fillId="2" borderId="79" xfId="0" applyNumberFormat="1" applyFont="1" applyFill="1" applyBorder="1" applyAlignment="1" applyProtection="1">
      <alignment vertical="center"/>
      <protection locked="0"/>
    </xf>
    <xf numFmtId="0" fontId="9" fillId="2" borderId="100" xfId="0" applyFont="1" applyFill="1" applyBorder="1" applyAlignment="1" applyProtection="1">
      <alignment horizontal="left" vertical="center"/>
      <protection locked="0"/>
    </xf>
    <xf numFmtId="0" fontId="9" fillId="2" borderId="67" xfId="0" applyFont="1" applyFill="1" applyBorder="1" applyAlignment="1" applyProtection="1">
      <alignment horizontal="left" vertical="center"/>
      <protection locked="0"/>
    </xf>
    <xf numFmtId="0" fontId="9" fillId="2" borderId="70" xfId="0" applyFont="1" applyFill="1" applyBorder="1" applyAlignment="1" applyProtection="1">
      <alignment horizontal="left" vertical="center"/>
      <protection locked="0"/>
    </xf>
    <xf numFmtId="0" fontId="9" fillId="2" borderId="101" xfId="0" applyFont="1" applyFill="1" applyBorder="1" applyAlignment="1" applyProtection="1">
      <alignment horizontal="left" vertical="center"/>
      <protection locked="0"/>
    </xf>
    <xf numFmtId="0" fontId="9" fillId="2" borderId="78" xfId="0" applyFont="1" applyFill="1" applyBorder="1" applyAlignment="1" applyProtection="1">
      <alignment horizontal="left" vertical="center"/>
      <protection locked="0"/>
    </xf>
    <xf numFmtId="0" fontId="9" fillId="2" borderId="79" xfId="0" applyFont="1" applyFill="1" applyBorder="1" applyAlignment="1" applyProtection="1">
      <alignment horizontal="left" vertical="center"/>
      <protection locked="0"/>
    </xf>
    <xf numFmtId="4" fontId="13" fillId="2" borderId="72" xfId="0" applyNumberFormat="1" applyFont="1" applyFill="1" applyBorder="1" applyAlignment="1" applyProtection="1">
      <alignment vertical="center"/>
      <protection locked="0"/>
    </xf>
    <xf numFmtId="4" fontId="13" fillId="2" borderId="115" xfId="0" applyNumberFormat="1" applyFont="1" applyFill="1" applyBorder="1" applyAlignment="1" applyProtection="1">
      <alignment vertical="center"/>
      <protection locked="0"/>
    </xf>
    <xf numFmtId="4" fontId="13" fillId="2" borderId="91" xfId="0" applyNumberFormat="1" applyFont="1" applyFill="1" applyBorder="1" applyAlignment="1" applyProtection="1">
      <alignment vertical="center"/>
      <protection locked="0"/>
    </xf>
    <xf numFmtId="4" fontId="9" fillId="2" borderId="108" xfId="0" applyNumberFormat="1" applyFont="1" applyFill="1" applyBorder="1" applyAlignment="1" applyProtection="1">
      <alignment vertical="center"/>
      <protection locked="0"/>
    </xf>
    <xf numFmtId="4" fontId="9" fillId="2" borderId="109" xfId="0" applyNumberFormat="1" applyFont="1" applyFill="1" applyBorder="1" applyAlignment="1" applyProtection="1">
      <alignment vertical="center"/>
      <protection locked="0"/>
    </xf>
    <xf numFmtId="4" fontId="9" fillId="2" borderId="110" xfId="0" applyNumberFormat="1" applyFont="1" applyFill="1" applyBorder="1" applyAlignment="1" applyProtection="1">
      <alignment vertical="center"/>
      <protection locked="0"/>
    </xf>
    <xf numFmtId="0" fontId="20" fillId="2" borderId="15" xfId="0" applyFont="1" applyFill="1" applyBorder="1" applyAlignment="1" applyProtection="1">
      <alignment horizontal="center" vertical="center"/>
      <protection locked="0"/>
    </xf>
    <xf numFmtId="4" fontId="9" fillId="2" borderId="100" xfId="0" applyNumberFormat="1" applyFont="1" applyFill="1" applyBorder="1" applyAlignment="1" applyProtection="1">
      <alignment horizontal="left" vertical="center"/>
      <protection locked="0"/>
    </xf>
    <xf numFmtId="4" fontId="9" fillId="2" borderId="70" xfId="0" applyNumberFormat="1" applyFont="1" applyFill="1" applyBorder="1" applyAlignment="1" applyProtection="1">
      <alignment horizontal="left" vertical="center"/>
      <protection locked="0"/>
    </xf>
    <xf numFmtId="4" fontId="9" fillId="2" borderId="79" xfId="0" applyNumberFormat="1" applyFont="1" applyFill="1" applyBorder="1" applyAlignment="1" applyProtection="1">
      <alignment horizontal="left" vertical="center"/>
      <protection locked="0"/>
    </xf>
    <xf numFmtId="4" fontId="20" fillId="2" borderId="101" xfId="0" applyNumberFormat="1" applyFont="1" applyFill="1" applyBorder="1" applyAlignment="1" applyProtection="1">
      <alignment vertical="center"/>
      <protection locked="0"/>
    </xf>
    <xf numFmtId="4" fontId="20" fillId="2" borderId="42" xfId="0" applyNumberFormat="1" applyFont="1" applyFill="1" applyBorder="1" applyAlignment="1" applyProtection="1">
      <alignment vertical="center"/>
      <protection locked="0"/>
    </xf>
    <xf numFmtId="4" fontId="9" fillId="2" borderId="99" xfId="0" applyNumberFormat="1" applyFont="1" applyFill="1" applyBorder="1" applyAlignment="1" applyProtection="1">
      <alignment horizontal="left" vertical="center"/>
      <protection locked="0"/>
    </xf>
    <xf numFmtId="4" fontId="9" fillId="2" borderId="104" xfId="0" applyNumberFormat="1" applyFont="1" applyFill="1" applyBorder="1" applyAlignment="1" applyProtection="1">
      <alignment horizontal="left" vertical="center"/>
      <protection locked="0"/>
    </xf>
    <xf numFmtId="4" fontId="9" fillId="2" borderId="68" xfId="0" applyNumberFormat="1" applyFont="1" applyFill="1" applyBorder="1" applyAlignment="1" applyProtection="1">
      <alignment horizontal="left" vertical="center"/>
      <protection locked="0"/>
    </xf>
    <xf numFmtId="4" fontId="9" fillId="2" borderId="69" xfId="0" applyNumberFormat="1" applyFont="1" applyFill="1" applyBorder="1" applyAlignment="1" applyProtection="1">
      <alignment horizontal="left" vertical="center"/>
      <protection locked="0"/>
    </xf>
    <xf numFmtId="4" fontId="9" fillId="2" borderId="71" xfId="0" applyNumberFormat="1" applyFont="1" applyFill="1" applyBorder="1" applyAlignment="1" applyProtection="1">
      <alignment horizontal="left" vertical="center"/>
      <protection locked="0"/>
    </xf>
    <xf numFmtId="4" fontId="9" fillId="2" borderId="66" xfId="0" applyNumberFormat="1" applyFont="1" applyFill="1" applyBorder="1" applyAlignment="1" applyProtection="1">
      <alignment horizontal="left" vertical="center"/>
      <protection locked="0"/>
    </xf>
    <xf numFmtId="3" fontId="16" fillId="2" borderId="15" xfId="0" applyNumberFormat="1" applyFont="1" applyFill="1" applyBorder="1" applyAlignment="1" applyProtection="1">
      <alignment horizontal="center" vertical="center"/>
      <protection locked="0"/>
    </xf>
    <xf numFmtId="0" fontId="13" fillId="2" borderId="14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3" fillId="2" borderId="3" xfId="0" applyFont="1" applyFill="1" applyBorder="1" applyProtection="1">
      <protection locked="0"/>
    </xf>
    <xf numFmtId="0" fontId="20" fillId="2" borderId="4" xfId="0" applyFont="1" applyFill="1" applyBorder="1" applyAlignment="1" applyProtection="1">
      <protection locked="0"/>
    </xf>
    <xf numFmtId="0" fontId="20" fillId="2" borderId="5" xfId="0" applyFont="1" applyFill="1" applyBorder="1" applyAlignment="1" applyProtection="1">
      <protection locked="0"/>
    </xf>
    <xf numFmtId="0" fontId="20" fillId="2" borderId="2" xfId="0" applyFont="1" applyFill="1" applyBorder="1" applyAlignment="1" applyProtection="1">
      <protection locked="0"/>
    </xf>
    <xf numFmtId="10" fontId="24" fillId="2" borderId="4" xfId="0" applyNumberFormat="1" applyFont="1" applyFill="1" applyBorder="1" applyProtection="1">
      <protection locked="0"/>
    </xf>
    <xf numFmtId="10" fontId="24" fillId="2" borderId="5" xfId="0" applyNumberFormat="1" applyFont="1" applyFill="1" applyBorder="1" applyProtection="1">
      <protection locked="0"/>
    </xf>
    <xf numFmtId="4" fontId="9" fillId="2" borderId="77" xfId="0" applyNumberFormat="1" applyFont="1" applyFill="1" applyBorder="1" applyAlignment="1" applyProtection="1">
      <alignment horizontal="left" vertical="center"/>
      <protection locked="0"/>
    </xf>
    <xf numFmtId="0" fontId="9" fillId="2" borderId="77" xfId="0" applyFont="1" applyFill="1" applyBorder="1" applyAlignment="1" applyProtection="1">
      <alignment horizontal="left" vertical="center"/>
      <protection locked="0"/>
    </xf>
    <xf numFmtId="4" fontId="9" fillId="2" borderId="78" xfId="0" applyNumberFormat="1" applyFont="1" applyFill="1" applyBorder="1" applyAlignment="1" applyProtection="1">
      <alignment horizontal="left" vertical="center"/>
      <protection locked="0"/>
    </xf>
    <xf numFmtId="4" fontId="13" fillId="2" borderId="167" xfId="0" applyNumberFormat="1" applyFont="1" applyFill="1" applyBorder="1" applyProtection="1"/>
    <xf numFmtId="0" fontId="7" fillId="2" borderId="23" xfId="0" applyFont="1" applyFill="1" applyBorder="1"/>
    <xf numFmtId="4" fontId="9" fillId="2" borderId="72" xfId="0" applyNumberFormat="1" applyFont="1" applyFill="1" applyBorder="1" applyAlignment="1" applyProtection="1">
      <alignment horizontal="right" vertical="center"/>
      <protection locked="0"/>
    </xf>
    <xf numFmtId="4" fontId="9" fillId="2" borderId="90" xfId="0" applyNumberFormat="1" applyFont="1" applyFill="1" applyBorder="1" applyAlignment="1" applyProtection="1">
      <alignment horizontal="right" vertical="center"/>
      <protection locked="0"/>
    </xf>
    <xf numFmtId="4" fontId="9" fillId="2" borderId="91" xfId="0" applyNumberFormat="1" applyFont="1" applyFill="1" applyBorder="1" applyAlignment="1" applyProtection="1">
      <alignment horizontal="right" vertical="center"/>
      <protection locked="0"/>
    </xf>
    <xf numFmtId="4" fontId="9" fillId="2" borderId="92" xfId="0" applyNumberFormat="1" applyFont="1" applyFill="1" applyBorder="1" applyAlignment="1" applyProtection="1">
      <alignment horizontal="right" vertical="center"/>
      <protection locked="0"/>
    </xf>
    <xf numFmtId="0" fontId="9" fillId="2" borderId="63" xfId="0" applyFont="1" applyFill="1" applyBorder="1" applyAlignment="1" applyProtection="1">
      <alignment vertical="center"/>
      <protection locked="0"/>
    </xf>
    <xf numFmtId="0" fontId="9" fillId="2" borderId="65" xfId="0" applyFont="1" applyFill="1" applyBorder="1" applyAlignment="1" applyProtection="1">
      <alignment vertical="center"/>
      <protection locked="0"/>
    </xf>
    <xf numFmtId="0" fontId="9" fillId="2" borderId="66" xfId="0" applyFont="1" applyFill="1" applyBorder="1" applyAlignment="1" applyProtection="1">
      <alignment vertical="center"/>
      <protection locked="0"/>
    </xf>
    <xf numFmtId="0" fontId="9" fillId="2" borderId="68" xfId="0" applyFont="1" applyFill="1" applyBorder="1" applyAlignment="1" applyProtection="1">
      <alignment vertical="center"/>
      <protection locked="0"/>
    </xf>
    <xf numFmtId="0" fontId="9" fillId="2" borderId="69" xfId="0" applyFont="1" applyFill="1" applyBorder="1" applyAlignment="1" applyProtection="1">
      <alignment vertical="center"/>
      <protection locked="0"/>
    </xf>
    <xf numFmtId="0" fontId="9" fillId="2" borderId="71" xfId="0" applyFont="1" applyFill="1" applyBorder="1" applyAlignment="1" applyProtection="1">
      <alignment vertical="center"/>
      <protection locked="0"/>
    </xf>
    <xf numFmtId="4" fontId="13" fillId="2" borderId="92" xfId="0" applyNumberFormat="1" applyFont="1" applyFill="1" applyBorder="1" applyAlignment="1" applyProtection="1">
      <alignment vertical="center"/>
      <protection locked="0"/>
    </xf>
    <xf numFmtId="4" fontId="9" fillId="2" borderId="114" xfId="0" applyNumberFormat="1" applyFont="1" applyFill="1" applyBorder="1" applyAlignment="1" applyProtection="1">
      <alignment horizontal="right" vertical="center"/>
      <protection locked="0"/>
    </xf>
    <xf numFmtId="4" fontId="9" fillId="2" borderId="86" xfId="0" applyNumberFormat="1" applyFont="1" applyFill="1" applyBorder="1" applyAlignment="1" applyProtection="1">
      <alignment horizontal="right" vertical="center"/>
      <protection locked="0"/>
    </xf>
    <xf numFmtId="4" fontId="9" fillId="2" borderId="89" xfId="0" applyNumberFormat="1" applyFont="1" applyFill="1" applyBorder="1" applyAlignment="1" applyProtection="1">
      <alignment horizontal="right" vertical="center"/>
      <protection locked="0"/>
    </xf>
    <xf numFmtId="4" fontId="7" fillId="2" borderId="108" xfId="0" applyNumberFormat="1" applyFont="1" applyFill="1" applyBorder="1" applyAlignment="1" applyProtection="1">
      <alignment vertical="center"/>
      <protection locked="0"/>
    </xf>
    <xf numFmtId="4" fontId="7" fillId="2" borderId="103" xfId="0" applyNumberFormat="1" applyFont="1" applyFill="1" applyBorder="1" applyAlignment="1" applyProtection="1">
      <alignment vertical="center"/>
      <protection locked="0"/>
    </xf>
    <xf numFmtId="4" fontId="7" fillId="2" borderId="110" xfId="0" applyNumberFormat="1" applyFont="1" applyFill="1" applyBorder="1" applyAlignment="1" applyProtection="1">
      <alignment horizontal="right" vertical="center"/>
      <protection locked="0"/>
    </xf>
    <xf numFmtId="4" fontId="7" fillId="2" borderId="88" xfId="0" applyNumberFormat="1" applyFont="1" applyFill="1" applyBorder="1" applyAlignment="1" applyProtection="1">
      <alignment horizontal="right" vertical="center"/>
      <protection locked="0"/>
    </xf>
    <xf numFmtId="4" fontId="7" fillId="2" borderId="89" xfId="0" applyNumberFormat="1" applyFont="1" applyFill="1" applyBorder="1" applyAlignment="1" applyProtection="1">
      <alignment horizontal="right" vertical="center"/>
      <protection locked="0"/>
    </xf>
    <xf numFmtId="4" fontId="7" fillId="2" borderId="108" xfId="0" applyNumberFormat="1" applyFont="1" applyFill="1" applyBorder="1" applyAlignment="1" applyProtection="1">
      <alignment horizontal="right" vertical="center"/>
      <protection locked="0"/>
    </xf>
    <xf numFmtId="4" fontId="7" fillId="2" borderId="103" xfId="0" applyNumberFormat="1" applyFont="1" applyFill="1" applyBorder="1" applyAlignment="1" applyProtection="1">
      <alignment horizontal="right" vertical="center"/>
      <protection locked="0"/>
    </xf>
    <xf numFmtId="4" fontId="7" fillId="2" borderId="114" xfId="0" applyNumberFormat="1" applyFont="1" applyFill="1" applyBorder="1" applyAlignment="1" applyProtection="1">
      <alignment horizontal="right" vertical="center"/>
      <protection locked="0"/>
    </xf>
    <xf numFmtId="0" fontId="9" fillId="2" borderId="101" xfId="0" applyFont="1" applyFill="1" applyBorder="1" applyAlignment="1" applyProtection="1">
      <alignment horizontal="center" vertical="center"/>
      <protection locked="0"/>
    </xf>
    <xf numFmtId="0" fontId="9" fillId="2" borderId="78" xfId="0" applyFont="1" applyFill="1" applyBorder="1" applyAlignment="1" applyProtection="1">
      <alignment horizontal="center" vertical="center"/>
      <protection locked="0"/>
    </xf>
    <xf numFmtId="0" fontId="9" fillId="2" borderId="79" xfId="0" applyFont="1" applyFill="1" applyBorder="1" applyAlignment="1" applyProtection="1">
      <alignment horizontal="center" vertical="center"/>
      <protection locked="0"/>
    </xf>
    <xf numFmtId="4" fontId="9" fillId="2" borderId="101" xfId="0" applyNumberFormat="1" applyFont="1" applyFill="1" applyBorder="1" applyAlignment="1" applyProtection="1">
      <alignment horizontal="right" vertical="center"/>
      <protection locked="0"/>
    </xf>
    <xf numFmtId="4" fontId="9" fillId="2" borderId="100" xfId="0" applyNumberFormat="1" applyFont="1" applyFill="1" applyBorder="1" applyAlignment="1" applyProtection="1">
      <alignment horizontal="right" vertical="center"/>
      <protection locked="0"/>
    </xf>
    <xf numFmtId="4" fontId="9" fillId="2" borderId="78" xfId="0" applyNumberFormat="1" applyFont="1" applyFill="1" applyBorder="1" applyAlignment="1" applyProtection="1">
      <alignment horizontal="right" vertical="center"/>
      <protection locked="0"/>
    </xf>
    <xf numFmtId="4" fontId="9" fillId="2" borderId="79" xfId="0" applyNumberFormat="1" applyFont="1" applyFill="1" applyBorder="1" applyAlignment="1" applyProtection="1">
      <alignment horizontal="right" vertical="center"/>
      <protection locked="0"/>
    </xf>
    <xf numFmtId="4" fontId="9" fillId="2" borderId="70" xfId="0" applyNumberFormat="1" applyFont="1" applyFill="1" applyBorder="1" applyAlignment="1" applyProtection="1">
      <alignment horizontal="right" vertical="center"/>
      <protection locked="0"/>
    </xf>
    <xf numFmtId="4" fontId="7" fillId="2" borderId="101" xfId="0" applyNumberFormat="1" applyFont="1" applyFill="1" applyBorder="1" applyAlignment="1" applyProtection="1">
      <alignment horizontal="right" vertical="center"/>
      <protection locked="0"/>
    </xf>
    <xf numFmtId="4" fontId="7" fillId="2" borderId="78" xfId="0" applyNumberFormat="1" applyFont="1" applyFill="1" applyBorder="1" applyAlignment="1" applyProtection="1">
      <alignment horizontal="right" vertical="center"/>
      <protection locked="0"/>
    </xf>
    <xf numFmtId="4" fontId="7" fillId="2" borderId="79" xfId="0" applyNumberFormat="1" applyFont="1" applyFill="1" applyBorder="1" applyAlignment="1" applyProtection="1">
      <alignment horizontal="right" vertical="center"/>
      <protection locked="0"/>
    </xf>
    <xf numFmtId="0" fontId="45" fillId="2" borderId="0" xfId="0" applyFont="1" applyFill="1" applyBorder="1" applyAlignment="1">
      <alignment horizontal="left" vertical="center"/>
    </xf>
    <xf numFmtId="0" fontId="39" fillId="2" borderId="0" xfId="0" applyFont="1" applyFill="1" applyBorder="1" applyAlignment="1">
      <alignment horizontal="center" vertical="center"/>
    </xf>
    <xf numFmtId="4" fontId="13" fillId="2" borderId="114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 applyProtection="1">
      <alignment vertical="center"/>
      <protection locked="0"/>
    </xf>
    <xf numFmtId="0" fontId="9" fillId="2" borderId="63" xfId="0" applyFont="1" applyFill="1" applyBorder="1" applyAlignment="1" applyProtection="1">
      <protection locked="0"/>
    </xf>
    <xf numFmtId="0" fontId="9" fillId="2" borderId="64" xfId="0" applyFont="1" applyFill="1" applyBorder="1" applyAlignment="1" applyProtection="1">
      <protection locked="0"/>
    </xf>
    <xf numFmtId="0" fontId="9" fillId="2" borderId="65" xfId="0" applyFont="1" applyFill="1" applyBorder="1" applyAlignment="1" applyProtection="1">
      <protection locked="0"/>
    </xf>
    <xf numFmtId="0" fontId="9" fillId="2" borderId="66" xfId="0" applyFont="1" applyFill="1" applyBorder="1" applyAlignment="1" applyProtection="1">
      <protection locked="0"/>
    </xf>
    <xf numFmtId="0" fontId="9" fillId="2" borderId="67" xfId="0" applyFont="1" applyFill="1" applyBorder="1" applyAlignment="1" applyProtection="1">
      <protection locked="0"/>
    </xf>
    <xf numFmtId="0" fontId="9" fillId="2" borderId="68" xfId="0" applyFont="1" applyFill="1" applyBorder="1" applyAlignment="1" applyProtection="1">
      <protection locked="0"/>
    </xf>
    <xf numFmtId="0" fontId="9" fillId="2" borderId="69" xfId="0" applyFont="1" applyFill="1" applyBorder="1" applyAlignment="1" applyProtection="1">
      <protection locked="0"/>
    </xf>
    <xf numFmtId="0" fontId="9" fillId="2" borderId="70" xfId="0" applyFont="1" applyFill="1" applyBorder="1" applyAlignment="1" applyProtection="1">
      <protection locked="0"/>
    </xf>
    <xf numFmtId="0" fontId="9" fillId="2" borderId="71" xfId="0" applyFont="1" applyFill="1" applyBorder="1" applyAlignment="1" applyProtection="1">
      <protection locked="0"/>
    </xf>
    <xf numFmtId="166" fontId="7" fillId="2" borderId="114" xfId="0" applyNumberFormat="1" applyFont="1" applyFill="1" applyBorder="1" applyAlignment="1" applyProtection="1">
      <alignment horizontal="right" vertical="center"/>
      <protection locked="0"/>
    </xf>
    <xf numFmtId="166" fontId="9" fillId="2" borderId="114" xfId="0" applyNumberFormat="1" applyFont="1" applyFill="1" applyBorder="1" applyAlignment="1" applyProtection="1">
      <alignment horizontal="right" vertical="center"/>
      <protection locked="0"/>
    </xf>
    <xf numFmtId="166" fontId="9" fillId="2" borderId="86" xfId="0" applyNumberFormat="1" applyFont="1" applyFill="1" applyBorder="1" applyAlignment="1" applyProtection="1">
      <alignment horizontal="right" vertical="center"/>
      <protection locked="0"/>
    </xf>
    <xf numFmtId="166" fontId="9" fillId="2" borderId="89" xfId="0" applyNumberFormat="1" applyFont="1" applyFill="1" applyBorder="1" applyAlignment="1" applyProtection="1">
      <alignment horizontal="right" vertical="center"/>
      <protection locked="0"/>
    </xf>
    <xf numFmtId="0" fontId="7" fillId="2" borderId="99" xfId="0" applyFont="1" applyFill="1" applyBorder="1" applyAlignment="1">
      <alignment horizontal="left" vertical="center"/>
    </xf>
    <xf numFmtId="4" fontId="9" fillId="2" borderId="101" xfId="0" applyNumberFormat="1" applyFont="1" applyFill="1" applyBorder="1" applyAlignment="1" applyProtection="1">
      <alignment vertical="center"/>
    </xf>
    <xf numFmtId="4" fontId="9" fillId="2" borderId="79" xfId="0" applyNumberFormat="1" applyFont="1" applyFill="1" applyBorder="1" applyAlignment="1" applyProtection="1">
      <alignment vertical="center"/>
    </xf>
    <xf numFmtId="0" fontId="46" fillId="0" borderId="9" xfId="0" applyFont="1" applyFill="1" applyBorder="1" applyAlignment="1" applyProtection="1">
      <alignment horizontal="left"/>
      <protection locked="0"/>
    </xf>
    <xf numFmtId="0" fontId="46" fillId="0" borderId="0" xfId="0" applyFont="1" applyFill="1" applyBorder="1" applyAlignment="1" applyProtection="1">
      <alignment horizontal="left"/>
      <protection locked="0"/>
    </xf>
    <xf numFmtId="0" fontId="46" fillId="0" borderId="10" xfId="0" applyFont="1" applyFill="1" applyBorder="1" applyAlignment="1" applyProtection="1">
      <alignment horizontal="left"/>
      <protection locked="0"/>
    </xf>
    <xf numFmtId="0" fontId="46" fillId="0" borderId="9" xfId="0" applyFont="1" applyFill="1" applyBorder="1" applyAlignment="1" applyProtection="1">
      <alignment horizontal="left" vertical="center"/>
      <protection locked="0"/>
    </xf>
    <xf numFmtId="0" fontId="46" fillId="0" borderId="0" xfId="0" applyFont="1" applyFill="1" applyBorder="1" applyAlignment="1" applyProtection="1">
      <alignment horizontal="left" vertical="center"/>
      <protection locked="0"/>
    </xf>
    <xf numFmtId="0" fontId="46" fillId="0" borderId="10" xfId="0" applyFont="1" applyFill="1" applyBorder="1" applyAlignment="1" applyProtection="1">
      <alignment horizontal="left" vertical="center"/>
      <protection locked="0"/>
    </xf>
    <xf numFmtId="0" fontId="24" fillId="2" borderId="0" xfId="0" applyFont="1" applyFill="1" applyAlignment="1" applyProtection="1">
      <alignment horizontal="left"/>
    </xf>
    <xf numFmtId="0" fontId="9" fillId="2" borderId="0" xfId="0" applyFont="1" applyFill="1" applyBorder="1" applyAlignment="1" applyProtection="1">
      <alignment horizontal="left" vertical="center"/>
    </xf>
    <xf numFmtId="4" fontId="24" fillId="2" borderId="0" xfId="0" applyNumberFormat="1" applyFont="1" applyFill="1" applyAlignment="1" applyProtection="1">
      <alignment horizontal="left"/>
    </xf>
    <xf numFmtId="0" fontId="24" fillId="2" borderId="6" xfId="0" applyFont="1" applyFill="1" applyBorder="1" applyAlignment="1" applyProtection="1">
      <alignment horizontal="left"/>
    </xf>
    <xf numFmtId="0" fontId="24" fillId="2" borderId="7" xfId="0" applyFont="1" applyFill="1" applyBorder="1" applyAlignment="1" applyProtection="1">
      <alignment horizontal="left"/>
    </xf>
    <xf numFmtId="4" fontId="24" fillId="2" borderId="7" xfId="0" applyNumberFormat="1" applyFont="1" applyFill="1" applyBorder="1" applyAlignment="1" applyProtection="1">
      <alignment horizontal="left"/>
    </xf>
    <xf numFmtId="0" fontId="24" fillId="2" borderId="8" xfId="0" applyFont="1" applyFill="1" applyBorder="1" applyAlignment="1" applyProtection="1">
      <alignment horizontal="left"/>
    </xf>
    <xf numFmtId="0" fontId="24" fillId="2" borderId="9" xfId="0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>
      <alignment horizontal="left"/>
    </xf>
    <xf numFmtId="0" fontId="24" fillId="2" borderId="0" xfId="0" applyFont="1" applyFill="1" applyBorder="1" applyAlignment="1" applyProtection="1">
      <alignment horizontal="left"/>
    </xf>
    <xf numFmtId="4" fontId="24" fillId="2" borderId="0" xfId="0" applyNumberFormat="1" applyFont="1" applyFill="1" applyBorder="1" applyAlignment="1" applyProtection="1">
      <alignment horizontal="left"/>
    </xf>
    <xf numFmtId="0" fontId="24" fillId="2" borderId="10" xfId="0" applyFont="1" applyFill="1" applyBorder="1" applyAlignment="1" applyProtection="1">
      <alignment horizontal="left"/>
    </xf>
    <xf numFmtId="0" fontId="9" fillId="2" borderId="10" xfId="0" applyFont="1" applyFill="1" applyBorder="1" applyAlignment="1" applyProtection="1">
      <alignment horizontal="left"/>
    </xf>
    <xf numFmtId="0" fontId="25" fillId="2" borderId="0" xfId="0" applyFont="1" applyFill="1" applyBorder="1" applyAlignment="1" applyProtection="1">
      <alignment horizontal="left"/>
    </xf>
    <xf numFmtId="0" fontId="9" fillId="2" borderId="9" xfId="0" applyFont="1" applyFill="1" applyBorder="1" applyAlignment="1" applyProtection="1">
      <alignment horizontal="left"/>
    </xf>
    <xf numFmtId="0" fontId="13" fillId="4" borderId="0" xfId="0" applyFont="1" applyFill="1" applyBorder="1" applyAlignment="1" applyProtection="1">
      <alignment horizontal="left" vertical="center"/>
    </xf>
    <xf numFmtId="0" fontId="9" fillId="2" borderId="0" xfId="0" applyFont="1" applyFill="1" applyAlignment="1" applyProtection="1">
      <alignment horizontal="left"/>
    </xf>
    <xf numFmtId="0" fontId="18" fillId="2" borderId="9" xfId="0" applyFont="1" applyFill="1" applyBorder="1" applyAlignment="1" applyProtection="1">
      <alignment horizontal="left"/>
    </xf>
    <xf numFmtId="0" fontId="16" fillId="5" borderId="0" xfId="0" applyFont="1" applyFill="1" applyBorder="1" applyAlignment="1" applyProtection="1">
      <alignment horizontal="left" vertical="center"/>
    </xf>
    <xf numFmtId="4" fontId="16" fillId="5" borderId="0" xfId="0" applyNumberFormat="1" applyFont="1" applyFill="1" applyBorder="1" applyAlignment="1" applyProtection="1">
      <alignment horizontal="left" vertical="center"/>
    </xf>
    <xf numFmtId="0" fontId="16" fillId="2" borderId="0" xfId="0" applyFont="1" applyFill="1" applyAlignment="1" applyProtection="1">
      <alignment horizontal="left" vertical="center"/>
    </xf>
    <xf numFmtId="4" fontId="16" fillId="2" borderId="0" xfId="0" applyNumberFormat="1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vertical="center"/>
    </xf>
    <xf numFmtId="0" fontId="20" fillId="2" borderId="9" xfId="0" applyFont="1" applyFill="1" applyBorder="1" applyAlignment="1" applyProtection="1">
      <alignment horizontal="left"/>
    </xf>
    <xf numFmtId="0" fontId="20" fillId="3" borderId="57" xfId="0" applyFont="1" applyFill="1" applyBorder="1" applyAlignment="1" applyProtection="1">
      <alignment vertical="center"/>
    </xf>
    <xf numFmtId="0" fontId="20" fillId="3" borderId="59" xfId="0" applyFont="1" applyFill="1" applyBorder="1" applyAlignment="1" applyProtection="1">
      <alignment vertical="center"/>
    </xf>
    <xf numFmtId="4" fontId="19" fillId="3" borderId="16" xfId="0" applyNumberFormat="1" applyFont="1" applyFill="1" applyBorder="1" applyAlignment="1" applyProtection="1">
      <alignment horizontal="right" vertical="center"/>
    </xf>
    <xf numFmtId="1" fontId="19" fillId="3" borderId="17" xfId="0" applyNumberFormat="1" applyFont="1" applyFill="1" applyBorder="1" applyAlignment="1" applyProtection="1">
      <alignment horizontal="center" vertical="center"/>
    </xf>
    <xf numFmtId="1" fontId="16" fillId="3" borderId="18" xfId="0" applyNumberFormat="1" applyFont="1" applyFill="1" applyBorder="1" applyAlignment="1" applyProtection="1">
      <alignment horizontal="left" vertical="center"/>
    </xf>
    <xf numFmtId="1" fontId="19" fillId="3" borderId="17" xfId="0" applyNumberFormat="1" applyFont="1" applyFill="1" applyBorder="1" applyAlignment="1" applyProtection="1">
      <alignment horizontal="left" vertical="center"/>
    </xf>
    <xf numFmtId="0" fontId="20" fillId="2" borderId="0" xfId="0" applyFont="1" applyFill="1" applyAlignment="1" applyProtection="1">
      <alignment horizontal="left" vertical="center"/>
    </xf>
    <xf numFmtId="0" fontId="25" fillId="2" borderId="9" xfId="0" applyFont="1" applyFill="1" applyBorder="1" applyAlignment="1" applyProtection="1">
      <alignment horizontal="center"/>
    </xf>
    <xf numFmtId="0" fontId="16" fillId="3" borderId="62" xfId="0" applyFont="1" applyFill="1" applyBorder="1" applyAlignment="1" applyProtection="1">
      <alignment vertical="center"/>
    </xf>
    <xf numFmtId="0" fontId="25" fillId="3" borderId="19" xfId="0" applyFont="1" applyFill="1" applyBorder="1" applyAlignment="1" applyProtection="1">
      <alignment horizontal="center" vertical="center"/>
    </xf>
    <xf numFmtId="4" fontId="25" fillId="3" borderId="15" xfId="0" applyNumberFormat="1" applyFont="1" applyFill="1" applyBorder="1" applyAlignment="1" applyProtection="1">
      <alignment horizontal="center" vertical="center"/>
    </xf>
    <xf numFmtId="0" fontId="25" fillId="2" borderId="0" xfId="0" applyFont="1" applyFill="1" applyAlignment="1" applyProtection="1">
      <alignment horizontal="center" vertical="center"/>
    </xf>
    <xf numFmtId="0" fontId="13" fillId="2" borderId="9" xfId="0" applyFont="1" applyFill="1" applyBorder="1" applyAlignment="1" applyProtection="1">
      <alignment horizontal="left"/>
    </xf>
    <xf numFmtId="0" fontId="13" fillId="2" borderId="16" xfId="0" applyFont="1" applyFill="1" applyBorder="1" applyAlignment="1" applyProtection="1">
      <alignment vertical="center"/>
    </xf>
    <xf numFmtId="0" fontId="13" fillId="2" borderId="18" xfId="0" applyFont="1" applyFill="1" applyBorder="1" applyAlignment="1" applyProtection="1">
      <alignment vertical="center"/>
    </xf>
    <xf numFmtId="4" fontId="13" fillId="2" borderId="15" xfId="0" applyNumberFormat="1" applyFont="1" applyFill="1" applyBorder="1" applyAlignment="1" applyProtection="1">
      <alignment vertical="center"/>
    </xf>
    <xf numFmtId="4" fontId="13" fillId="2" borderId="15" xfId="0" applyNumberFormat="1" applyFont="1" applyFill="1" applyBorder="1" applyAlignment="1" applyProtection="1">
      <alignment horizontal="left" vertical="center"/>
    </xf>
    <xf numFmtId="0" fontId="13" fillId="2" borderId="15" xfId="0" applyFont="1" applyFill="1" applyBorder="1" applyAlignment="1" applyProtection="1">
      <alignment horizontal="left" vertical="center"/>
    </xf>
    <xf numFmtId="0" fontId="13" fillId="2" borderId="0" xfId="0" applyFont="1" applyFill="1" applyAlignment="1" applyProtection="1">
      <alignment horizontal="left" vertical="center"/>
    </xf>
    <xf numFmtId="0" fontId="9" fillId="2" borderId="63" xfId="0" applyFont="1" applyFill="1" applyBorder="1" applyAlignment="1" applyProtection="1">
      <alignment vertical="center"/>
    </xf>
    <xf numFmtId="0" fontId="9" fillId="2" borderId="65" xfId="0" applyFont="1" applyFill="1" applyBorder="1" applyAlignment="1" applyProtection="1">
      <alignment vertical="center"/>
    </xf>
    <xf numFmtId="0" fontId="9" fillId="2" borderId="0" xfId="0" applyFont="1" applyFill="1" applyAlignment="1" applyProtection="1">
      <alignment horizontal="left" vertical="center"/>
    </xf>
    <xf numFmtId="0" fontId="9" fillId="2" borderId="69" xfId="0" applyFont="1" applyFill="1" applyBorder="1" applyAlignment="1" applyProtection="1">
      <alignment vertical="center"/>
    </xf>
    <xf numFmtId="0" fontId="9" fillId="2" borderId="71" xfId="0" applyFont="1" applyFill="1" applyBorder="1" applyAlignment="1" applyProtection="1">
      <alignment vertical="center"/>
    </xf>
    <xf numFmtId="0" fontId="9" fillId="2" borderId="68" xfId="0" applyFont="1" applyFill="1" applyBorder="1" applyAlignment="1" applyProtection="1">
      <alignment vertical="center"/>
    </xf>
    <xf numFmtId="0" fontId="47" fillId="2" borderId="9" xfId="0" applyFont="1" applyFill="1" applyBorder="1" applyAlignment="1" applyProtection="1">
      <alignment horizontal="left"/>
    </xf>
    <xf numFmtId="0" fontId="47" fillId="2" borderId="63" xfId="0" applyFont="1" applyFill="1" applyBorder="1" applyAlignment="1" applyProtection="1">
      <alignment vertical="center"/>
    </xf>
    <xf numFmtId="0" fontId="47" fillId="2" borderId="65" xfId="0" applyFont="1" applyFill="1" applyBorder="1" applyAlignment="1" applyProtection="1">
      <alignment vertical="center"/>
    </xf>
    <xf numFmtId="4" fontId="47" fillId="2" borderId="77" xfId="0" applyNumberFormat="1" applyFont="1" applyFill="1" applyBorder="1" applyAlignment="1" applyProtection="1">
      <alignment vertical="center"/>
    </xf>
    <xf numFmtId="4" fontId="47" fillId="2" borderId="77" xfId="0" applyNumberFormat="1" applyFont="1" applyFill="1" applyBorder="1" applyAlignment="1" applyProtection="1">
      <alignment horizontal="left" vertical="center"/>
    </xf>
    <xf numFmtId="0" fontId="47" fillId="2" borderId="77" xfId="0" applyFont="1" applyFill="1" applyBorder="1" applyAlignment="1" applyProtection="1">
      <alignment horizontal="left" vertical="center"/>
    </xf>
    <xf numFmtId="0" fontId="47" fillId="2" borderId="10" xfId="0" applyFont="1" applyFill="1" applyBorder="1" applyAlignment="1" applyProtection="1">
      <alignment horizontal="left"/>
    </xf>
    <xf numFmtId="0" fontId="47" fillId="2" borderId="0" xfId="0" applyFont="1" applyFill="1" applyAlignment="1" applyProtection="1">
      <alignment horizontal="left" vertical="center"/>
    </xf>
    <xf numFmtId="0" fontId="13" fillId="2" borderId="73" xfId="0" applyFont="1" applyFill="1" applyBorder="1" applyAlignment="1" applyProtection="1">
      <alignment vertical="center"/>
    </xf>
    <xf numFmtId="0" fontId="13" fillId="2" borderId="75" xfId="0" applyFont="1" applyFill="1" applyBorder="1" applyAlignment="1" applyProtection="1">
      <alignment vertical="center"/>
    </xf>
    <xf numFmtId="4" fontId="13" fillId="2" borderId="72" xfId="0" applyNumberFormat="1" applyFont="1" applyFill="1" applyBorder="1" applyAlignment="1" applyProtection="1">
      <alignment vertical="center"/>
    </xf>
    <xf numFmtId="4" fontId="13" fillId="2" borderId="72" xfId="0" applyNumberFormat="1" applyFont="1" applyFill="1" applyBorder="1" applyAlignment="1" applyProtection="1">
      <alignment horizontal="left" vertical="center"/>
    </xf>
    <xf numFmtId="0" fontId="13" fillId="2" borderId="72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4" fontId="9" fillId="2" borderId="0" xfId="0" applyNumberFormat="1" applyFont="1" applyFill="1" applyBorder="1" applyAlignment="1" applyProtection="1">
      <alignment horizontal="left" vertical="center"/>
    </xf>
    <xf numFmtId="4" fontId="25" fillId="3" borderId="76" xfId="0" applyNumberFormat="1" applyFont="1" applyFill="1" applyBorder="1" applyAlignment="1" applyProtection="1">
      <alignment horizontal="center" vertical="center"/>
    </xf>
    <xf numFmtId="1" fontId="16" fillId="3" borderId="80" xfId="0" applyNumberFormat="1" applyFont="1" applyFill="1" applyBorder="1" applyAlignment="1" applyProtection="1">
      <alignment horizontal="center" vertical="center"/>
    </xf>
    <xf numFmtId="4" fontId="13" fillId="2" borderId="73" xfId="0" applyNumberFormat="1" applyFont="1" applyFill="1" applyBorder="1" applyAlignment="1" applyProtection="1">
      <alignment horizontal="left" vertical="center"/>
    </xf>
    <xf numFmtId="4" fontId="13" fillId="2" borderId="74" xfId="0" applyNumberFormat="1" applyFont="1" applyFill="1" applyBorder="1" applyAlignment="1" applyProtection="1">
      <alignment horizontal="left" vertical="center"/>
    </xf>
    <xf numFmtId="4" fontId="13" fillId="2" borderId="75" xfId="0" applyNumberFormat="1" applyFont="1" applyFill="1" applyBorder="1" applyAlignment="1" applyProtection="1">
      <alignment horizontal="left" vertical="center"/>
    </xf>
    <xf numFmtId="4" fontId="13" fillId="2" borderId="16" xfId="0" applyNumberFormat="1" applyFont="1" applyFill="1" applyBorder="1" applyAlignment="1" applyProtection="1">
      <alignment horizontal="left" vertical="center"/>
    </xf>
    <xf numFmtId="4" fontId="13" fillId="2" borderId="17" xfId="0" applyNumberFormat="1" applyFont="1" applyFill="1" applyBorder="1" applyAlignment="1" applyProtection="1">
      <alignment horizontal="left" vertical="center"/>
    </xf>
    <xf numFmtId="4" fontId="13" fillId="2" borderId="18" xfId="0" applyNumberFormat="1" applyFont="1" applyFill="1" applyBorder="1" applyAlignment="1" applyProtection="1">
      <alignment horizontal="left" vertical="center"/>
    </xf>
    <xf numFmtId="0" fontId="8" fillId="2" borderId="99" xfId="0" applyFont="1" applyFill="1" applyBorder="1" applyAlignment="1" applyProtection="1">
      <alignment vertical="center"/>
    </xf>
    <xf numFmtId="0" fontId="9" fillId="2" borderId="104" xfId="0" applyFont="1" applyFill="1" applyBorder="1" applyAlignment="1" applyProtection="1">
      <alignment vertical="center"/>
    </xf>
    <xf numFmtId="0" fontId="8" fillId="2" borderId="66" xfId="0" applyFont="1" applyFill="1" applyBorder="1" applyAlignment="1" applyProtection="1">
      <alignment vertical="center"/>
    </xf>
    <xf numFmtId="0" fontId="8" fillId="2" borderId="93" xfId="0" applyFont="1" applyFill="1" applyBorder="1" applyAlignment="1" applyProtection="1">
      <alignment vertical="center"/>
    </xf>
    <xf numFmtId="0" fontId="9" fillId="2" borderId="98" xfId="0" applyFont="1" applyFill="1" applyBorder="1" applyAlignment="1" applyProtection="1">
      <alignment vertical="center"/>
    </xf>
    <xf numFmtId="0" fontId="13" fillId="2" borderId="10" xfId="0" applyFont="1" applyFill="1" applyBorder="1" applyAlignment="1" applyProtection="1">
      <alignment horizontal="left"/>
    </xf>
    <xf numFmtId="0" fontId="7" fillId="2" borderId="66" xfId="0" applyFont="1" applyFill="1" applyBorder="1" applyAlignment="1" applyProtection="1">
      <alignment vertical="center"/>
    </xf>
    <xf numFmtId="0" fontId="35" fillId="2" borderId="0" xfId="0" applyFont="1" applyFill="1" applyBorder="1" applyAlignment="1" applyProtection="1">
      <alignment horizontal="left" vertical="center"/>
    </xf>
    <xf numFmtId="0" fontId="38" fillId="2" borderId="0" xfId="0" applyFont="1" applyFill="1" applyBorder="1" applyAlignment="1" applyProtection="1">
      <alignment vertical="center"/>
    </xf>
    <xf numFmtId="4" fontId="38" fillId="2" borderId="0" xfId="0" applyNumberFormat="1" applyFont="1" applyFill="1" applyBorder="1" applyAlignment="1" applyProtection="1">
      <alignment horizontal="left" vertical="center"/>
    </xf>
    <xf numFmtId="0" fontId="24" fillId="2" borderId="11" xfId="0" applyFont="1" applyFill="1" applyBorder="1" applyAlignment="1" applyProtection="1">
      <alignment horizontal="left"/>
    </xf>
    <xf numFmtId="0" fontId="24" fillId="2" borderId="12" xfId="0" applyFont="1" applyFill="1" applyBorder="1" applyAlignment="1" applyProtection="1">
      <alignment horizontal="left"/>
    </xf>
    <xf numFmtId="0" fontId="24" fillId="2" borderId="13" xfId="0" applyFont="1" applyFill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/>
    </xf>
    <xf numFmtId="0" fontId="23" fillId="2" borderId="0" xfId="0" applyFont="1" applyFill="1" applyAlignment="1" applyProtection="1">
      <alignment horizontal="right"/>
    </xf>
    <xf numFmtId="0" fontId="21" fillId="2" borderId="0" xfId="0" applyFont="1" applyFill="1" applyAlignment="1" applyProtection="1">
      <alignment horizontal="left"/>
    </xf>
    <xf numFmtId="4" fontId="9" fillId="2" borderId="67" xfId="0" applyNumberFormat="1" applyFont="1" applyFill="1" applyBorder="1" applyAlignment="1" applyProtection="1">
      <alignment horizontal="left" vertical="center"/>
      <protection locked="0"/>
    </xf>
    <xf numFmtId="4" fontId="9" fillId="2" borderId="63" xfId="0" applyNumberFormat="1" applyFont="1" applyFill="1" applyBorder="1" applyAlignment="1" applyProtection="1">
      <alignment horizontal="left" vertical="center"/>
      <protection locked="0"/>
    </xf>
    <xf numFmtId="4" fontId="9" fillId="2" borderId="64" xfId="0" applyNumberFormat="1" applyFont="1" applyFill="1" applyBorder="1" applyAlignment="1" applyProtection="1">
      <alignment horizontal="left" vertical="center"/>
      <protection locked="0"/>
    </xf>
    <xf numFmtId="4" fontId="9" fillId="2" borderId="93" xfId="0" applyNumberFormat="1" applyFont="1" applyFill="1" applyBorder="1" applyAlignment="1" applyProtection="1">
      <alignment horizontal="left" vertical="center"/>
      <protection locked="0"/>
    </xf>
    <xf numFmtId="4" fontId="9" fillId="2" borderId="94" xfId="0" applyNumberFormat="1" applyFont="1" applyFill="1" applyBorder="1" applyAlignment="1" applyProtection="1">
      <alignment horizontal="left" vertical="center"/>
      <protection locked="0"/>
    </xf>
    <xf numFmtId="4" fontId="28" fillId="2" borderId="29" xfId="0" applyNumberFormat="1" applyFont="1" applyFill="1" applyBorder="1" applyProtection="1">
      <protection locked="0"/>
    </xf>
    <xf numFmtId="4" fontId="28" fillId="2" borderId="127" xfId="0" applyNumberFormat="1" applyFont="1" applyFill="1" applyBorder="1" applyProtection="1">
      <protection locked="0"/>
    </xf>
    <xf numFmtId="4" fontId="28" fillId="2" borderId="61" xfId="0" applyNumberFormat="1" applyFont="1" applyFill="1" applyBorder="1" applyProtection="1">
      <protection locked="0"/>
    </xf>
    <xf numFmtId="4" fontId="26" fillId="2" borderId="42" xfId="0" applyNumberFormat="1" applyFont="1" applyFill="1" applyBorder="1" applyProtection="1">
      <protection locked="0"/>
    </xf>
    <xf numFmtId="0" fontId="44" fillId="2" borderId="0" xfId="0" applyFont="1" applyFill="1" applyBorder="1" applyAlignment="1">
      <alignment horizontal="right"/>
    </xf>
    <xf numFmtId="0" fontId="13" fillId="4" borderId="0" xfId="0" applyFont="1" applyFill="1" applyBorder="1" applyAlignment="1" applyProtection="1">
      <alignment horizontal="left" vertical="center" wrapText="1"/>
    </xf>
    <xf numFmtId="4" fontId="9" fillId="2" borderId="99" xfId="0" applyNumberFormat="1" applyFont="1" applyFill="1" applyBorder="1" applyAlignment="1" applyProtection="1">
      <alignment horizontal="left" vertical="center"/>
      <protection locked="0"/>
    </xf>
    <xf numFmtId="4" fontId="9" fillId="2" borderId="104" xfId="0" applyNumberFormat="1" applyFont="1" applyFill="1" applyBorder="1" applyAlignment="1" applyProtection="1">
      <alignment horizontal="left" vertical="center"/>
      <protection locked="0"/>
    </xf>
    <xf numFmtId="4" fontId="9" fillId="2" borderId="66" xfId="0" applyNumberFormat="1" applyFont="1" applyFill="1" applyBorder="1" applyAlignment="1" applyProtection="1">
      <alignment horizontal="left" vertical="center"/>
      <protection locked="0"/>
    </xf>
    <xf numFmtId="4" fontId="9" fillId="2" borderId="68" xfId="0" applyNumberFormat="1" applyFont="1" applyFill="1" applyBorder="1" applyAlignment="1" applyProtection="1">
      <alignment horizontal="left" vertical="center"/>
      <protection locked="0"/>
    </xf>
    <xf numFmtId="0" fontId="44" fillId="2" borderId="0" xfId="0" applyFont="1" applyFill="1" applyBorder="1" applyAlignment="1">
      <alignment horizontal="right" wrapText="1"/>
    </xf>
    <xf numFmtId="4" fontId="7" fillId="2" borderId="104" xfId="0" applyNumberFormat="1" applyFont="1" applyFill="1" applyBorder="1" applyAlignment="1" applyProtection="1">
      <alignment horizontal="right" vertical="center"/>
      <protection locked="0"/>
    </xf>
    <xf numFmtId="4" fontId="7" fillId="2" borderId="68" xfId="0" applyNumberFormat="1" applyFont="1" applyFill="1" applyBorder="1" applyAlignment="1" applyProtection="1">
      <alignment horizontal="right" vertical="center"/>
      <protection locked="0"/>
    </xf>
    <xf numFmtId="4" fontId="7" fillId="2" borderId="71" xfId="0" applyNumberFormat="1" applyFont="1" applyFill="1" applyBorder="1" applyAlignment="1" applyProtection="1">
      <alignment horizontal="right" vertical="center"/>
      <protection locked="0"/>
    </xf>
    <xf numFmtId="0" fontId="24" fillId="2" borderId="0" xfId="0" applyFont="1" applyFill="1" applyProtection="1"/>
    <xf numFmtId="0" fontId="24" fillId="2" borderId="0" xfId="0" applyFont="1" applyFill="1" applyBorder="1" applyProtection="1"/>
    <xf numFmtId="0" fontId="24" fillId="2" borderId="6" xfId="0" applyFont="1" applyFill="1" applyBorder="1" applyProtection="1"/>
    <xf numFmtId="0" fontId="24" fillId="2" borderId="7" xfId="0" applyFont="1" applyFill="1" applyBorder="1" applyProtection="1"/>
    <xf numFmtId="0" fontId="24" fillId="2" borderId="8" xfId="0" applyFont="1" applyFill="1" applyBorder="1" applyProtection="1"/>
    <xf numFmtId="0" fontId="24" fillId="2" borderId="9" xfId="0" applyFont="1" applyFill="1" applyBorder="1" applyProtection="1"/>
    <xf numFmtId="0" fontId="13" fillId="2" borderId="0" xfId="0" applyFont="1" applyFill="1" applyBorder="1" applyProtection="1"/>
    <xf numFmtId="0" fontId="24" fillId="2" borderId="10" xfId="0" applyFont="1" applyFill="1" applyBorder="1" applyProtection="1"/>
    <xf numFmtId="0" fontId="24" fillId="2" borderId="0" xfId="0" applyFont="1" applyFill="1" applyBorder="1" applyAlignment="1" applyProtection="1">
      <alignment horizontal="center"/>
    </xf>
    <xf numFmtId="0" fontId="25" fillId="2" borderId="0" xfId="0" applyFont="1" applyFill="1" applyBorder="1" applyProtection="1"/>
    <xf numFmtId="0" fontId="25" fillId="2" borderId="0" xfId="0" applyFont="1" applyFill="1" applyBorder="1" applyAlignment="1" applyProtection="1">
      <alignment horizontal="center" vertical="center"/>
    </xf>
    <xf numFmtId="0" fontId="10" fillId="2" borderId="9" xfId="0" applyFont="1" applyFill="1" applyBorder="1" applyProtection="1"/>
    <xf numFmtId="0" fontId="13" fillId="4" borderId="0" xfId="0" applyFont="1" applyFill="1" applyBorder="1" applyAlignment="1" applyProtection="1">
      <alignment vertical="center"/>
    </xf>
    <xf numFmtId="0" fontId="10" fillId="2" borderId="10" xfId="0" applyFont="1" applyFill="1" applyBorder="1" applyProtection="1"/>
    <xf numFmtId="0" fontId="10" fillId="2" borderId="0" xfId="0" applyFont="1" applyFill="1" applyProtection="1"/>
    <xf numFmtId="0" fontId="18" fillId="2" borderId="9" xfId="0" applyFont="1" applyFill="1" applyBorder="1" applyProtection="1"/>
    <xf numFmtId="0" fontId="16" fillId="5" borderId="0" xfId="0" applyFont="1" applyFill="1" applyBorder="1" applyAlignment="1" applyProtection="1">
      <alignment vertical="center"/>
    </xf>
    <xf numFmtId="0" fontId="18" fillId="2" borderId="10" xfId="0" applyFont="1" applyFill="1" applyBorder="1" applyProtection="1"/>
    <xf numFmtId="0" fontId="16" fillId="2" borderId="0" xfId="0" applyFont="1" applyFill="1" applyAlignment="1" applyProtection="1">
      <alignment vertical="center"/>
    </xf>
    <xf numFmtId="0" fontId="13" fillId="2" borderId="1" xfId="0" applyFont="1" applyFill="1" applyBorder="1" applyProtection="1"/>
    <xf numFmtId="0" fontId="32" fillId="2" borderId="1" xfId="0" applyNumberFormat="1" applyFont="1" applyFill="1" applyBorder="1" applyAlignment="1" applyProtection="1">
      <alignment horizontal="left"/>
    </xf>
    <xf numFmtId="0" fontId="24" fillId="2" borderId="1" xfId="0" applyFont="1" applyFill="1" applyBorder="1" applyProtection="1"/>
    <xf numFmtId="0" fontId="24" fillId="2" borderId="1" xfId="0" applyFont="1" applyFill="1" applyBorder="1" applyAlignment="1" applyProtection="1">
      <alignment horizontal="left"/>
    </xf>
    <xf numFmtId="0" fontId="48" fillId="2" borderId="0" xfId="0" applyFont="1" applyFill="1" applyBorder="1" applyAlignment="1" applyProtection="1">
      <alignment horizontal="center"/>
    </xf>
    <xf numFmtId="0" fontId="24" fillId="2" borderId="9" xfId="0" applyFont="1" applyFill="1" applyBorder="1" applyAlignment="1" applyProtection="1">
      <alignment wrapText="1"/>
    </xf>
    <xf numFmtId="0" fontId="24" fillId="2" borderId="1" xfId="0" applyFont="1" applyFill="1" applyBorder="1" applyAlignment="1" applyProtection="1">
      <alignment wrapText="1"/>
    </xf>
    <xf numFmtId="0" fontId="24" fillId="2" borderId="1" xfId="0" applyFont="1" applyFill="1" applyBorder="1" applyAlignment="1" applyProtection="1">
      <alignment horizontal="center" wrapText="1"/>
    </xf>
    <xf numFmtId="0" fontId="32" fillId="2" borderId="1" xfId="0" applyFont="1" applyFill="1" applyBorder="1" applyAlignment="1" applyProtection="1">
      <alignment horizontal="center" wrapText="1"/>
    </xf>
    <xf numFmtId="0" fontId="24" fillId="2" borderId="1" xfId="0" applyFont="1" applyFill="1" applyBorder="1" applyAlignment="1" applyProtection="1">
      <alignment horizontal="center" vertical="center" wrapText="1"/>
    </xf>
    <xf numFmtId="0" fontId="32" fillId="2" borderId="1" xfId="0" applyFont="1" applyFill="1" applyBorder="1" applyAlignment="1" applyProtection="1">
      <alignment horizontal="center"/>
    </xf>
    <xf numFmtId="0" fontId="24" fillId="2" borderId="10" xfId="0" applyFont="1" applyFill="1" applyBorder="1" applyAlignment="1" applyProtection="1">
      <alignment wrapText="1"/>
    </xf>
    <xf numFmtId="0" fontId="24" fillId="2" borderId="0" xfId="0" applyFont="1" applyFill="1" applyAlignment="1" applyProtection="1">
      <alignment wrapText="1"/>
    </xf>
    <xf numFmtId="0" fontId="21" fillId="6" borderId="1" xfId="0" applyFont="1" applyFill="1" applyBorder="1" applyAlignment="1" applyProtection="1">
      <alignment horizontal="left"/>
    </xf>
    <xf numFmtId="0" fontId="24" fillId="2" borderId="0" xfId="0" applyFont="1" applyFill="1" applyBorder="1" applyAlignment="1" applyProtection="1">
      <alignment horizontal="center" wrapText="1"/>
    </xf>
    <xf numFmtId="0" fontId="24" fillId="2" borderId="0" xfId="0" quotePrefix="1" applyFont="1" applyFill="1" applyBorder="1" applyAlignment="1" applyProtection="1">
      <alignment horizontal="left"/>
    </xf>
    <xf numFmtId="0" fontId="24" fillId="2" borderId="11" xfId="0" applyFont="1" applyFill="1" applyBorder="1" applyProtection="1"/>
    <xf numFmtId="0" fontId="24" fillId="2" borderId="12" xfId="0" applyFont="1" applyFill="1" applyBorder="1" applyProtection="1"/>
    <xf numFmtId="0" fontId="24" fillId="2" borderId="13" xfId="0" applyFont="1" applyFill="1" applyBorder="1" applyProtection="1"/>
    <xf numFmtId="0" fontId="21" fillId="2" borderId="0" xfId="0" applyFont="1" applyFill="1" applyBorder="1" applyProtection="1"/>
    <xf numFmtId="0" fontId="21" fillId="2" borderId="0" xfId="0" applyFont="1" applyFill="1" applyProtection="1"/>
    <xf numFmtId="3" fontId="24" fillId="2" borderId="4" xfId="0" applyNumberFormat="1" applyFont="1" applyFill="1" applyBorder="1" applyAlignment="1" applyProtection="1">
      <alignment horizontal="center"/>
      <protection locked="0"/>
    </xf>
    <xf numFmtId="3" fontId="24" fillId="2" borderId="5" xfId="0" applyNumberFormat="1" applyFont="1" applyFill="1" applyBorder="1" applyAlignment="1" applyProtection="1">
      <alignment horizontal="center"/>
      <protection locked="0"/>
    </xf>
    <xf numFmtId="0" fontId="24" fillId="2" borderId="4" xfId="0" applyFont="1" applyFill="1" applyBorder="1" applyAlignment="1" applyProtection="1">
      <alignment horizontal="center"/>
      <protection locked="0"/>
    </xf>
    <xf numFmtId="0" fontId="24" fillId="2" borderId="5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vertical="center"/>
    </xf>
    <xf numFmtId="4" fontId="9" fillId="2" borderId="0" xfId="0" applyNumberFormat="1" applyFont="1" applyFill="1" applyBorder="1" applyAlignment="1" applyProtection="1">
      <alignment vertical="center"/>
      <protection locked="0"/>
    </xf>
    <xf numFmtId="4" fontId="9" fillId="2" borderId="0" xfId="0" applyNumberFormat="1" applyFont="1" applyFill="1" applyBorder="1" applyAlignment="1" applyProtection="1">
      <alignment horizontal="left" vertical="center"/>
      <protection locked="0"/>
    </xf>
    <xf numFmtId="0" fontId="25" fillId="2" borderId="0" xfId="0" applyFont="1" applyFill="1" applyBorder="1" applyAlignment="1" applyProtection="1">
      <alignment horizontal="left" vertical="center"/>
    </xf>
    <xf numFmtId="0" fontId="24" fillId="2" borderId="0" xfId="0" applyFont="1" applyFill="1" applyBorder="1" applyAlignment="1" applyProtection="1">
      <alignment vertical="center"/>
    </xf>
    <xf numFmtId="0" fontId="24" fillId="2" borderId="0" xfId="0" quotePrefix="1" applyFont="1" applyFill="1" applyBorder="1" applyAlignment="1" applyProtection="1">
      <alignment vertical="center"/>
    </xf>
    <xf numFmtId="4" fontId="13" fillId="3" borderId="76" xfId="0" applyNumberFormat="1" applyFont="1" applyFill="1" applyBorder="1" applyAlignment="1" applyProtection="1">
      <alignment horizontal="center" vertical="center"/>
    </xf>
    <xf numFmtId="1" fontId="13" fillId="3" borderId="80" xfId="0" applyNumberFormat="1" applyFont="1" applyFill="1" applyBorder="1" applyAlignment="1" applyProtection="1">
      <alignment horizontal="center" vertical="center"/>
    </xf>
    <xf numFmtId="0" fontId="6" fillId="2" borderId="66" xfId="0" applyFont="1" applyFill="1" applyBorder="1" applyAlignment="1" applyProtection="1">
      <alignment vertical="center"/>
    </xf>
    <xf numFmtId="0" fontId="6" fillId="2" borderId="67" xfId="0" applyFont="1" applyFill="1" applyBorder="1" applyAlignment="1" applyProtection="1">
      <alignment vertical="center"/>
    </xf>
    <xf numFmtId="0" fontId="6" fillId="2" borderId="68" xfId="0" applyFont="1" applyFill="1" applyBorder="1" applyAlignment="1" applyProtection="1">
      <alignment vertical="center"/>
    </xf>
    <xf numFmtId="0" fontId="13" fillId="2" borderId="74" xfId="0" applyFont="1" applyFill="1" applyBorder="1" applyAlignment="1" applyProtection="1">
      <alignment vertical="center"/>
    </xf>
    <xf numFmtId="4" fontId="13" fillId="2" borderId="75" xfId="0" applyNumberFormat="1" applyFont="1" applyFill="1" applyBorder="1" applyAlignment="1" applyProtection="1">
      <alignment vertical="center"/>
    </xf>
    <xf numFmtId="4" fontId="6" fillId="2" borderId="99" xfId="0" applyNumberFormat="1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Border="1" applyAlignment="1">
      <alignment horizontal="center" vertical="center"/>
    </xf>
    <xf numFmtId="3" fontId="13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5" fillId="2" borderId="0" xfId="0" quotePrefix="1" applyFont="1" applyFill="1" applyBorder="1" applyAlignment="1">
      <alignment horizontal="left" vertical="center"/>
    </xf>
    <xf numFmtId="3" fontId="5" fillId="2" borderId="0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13" fillId="3" borderId="33" xfId="0" quotePrefix="1" applyFont="1" applyFill="1" applyBorder="1" applyAlignment="1">
      <alignment horizontal="left" vertical="center"/>
    </xf>
    <xf numFmtId="0" fontId="50" fillId="2" borderId="0" xfId="0" applyFont="1" applyFill="1"/>
    <xf numFmtId="0" fontId="51" fillId="2" borderId="101" xfId="0" applyFont="1" applyFill="1" applyBorder="1" applyAlignment="1" applyProtection="1">
      <alignment horizontal="center" vertical="center"/>
      <protection locked="0"/>
    </xf>
    <xf numFmtId="4" fontId="7" fillId="2" borderId="77" xfId="0" applyNumberFormat="1" applyFont="1" applyFill="1" applyBorder="1" applyAlignment="1" applyProtection="1">
      <alignment horizontal="right" vertical="center"/>
      <protection locked="0"/>
    </xf>
    <xf numFmtId="4" fontId="9" fillId="2" borderId="68" xfId="0" applyNumberFormat="1" applyFont="1" applyFill="1" applyBorder="1" applyAlignment="1" applyProtection="1">
      <alignment horizontal="left" vertical="center"/>
      <protection locked="0"/>
    </xf>
    <xf numFmtId="4" fontId="9" fillId="2" borderId="71" xfId="0" applyNumberFormat="1" applyFont="1" applyFill="1" applyBorder="1" applyAlignment="1" applyProtection="1">
      <alignment horizontal="left" vertical="center"/>
      <protection locked="0"/>
    </xf>
    <xf numFmtId="0" fontId="13" fillId="2" borderId="63" xfId="0" applyFont="1" applyFill="1" applyBorder="1" applyAlignment="1" applyProtection="1">
      <alignment vertical="center"/>
    </xf>
    <xf numFmtId="0" fontId="13" fillId="2" borderId="65" xfId="0" applyFont="1" applyFill="1" applyBorder="1" applyAlignment="1" applyProtection="1">
      <alignment vertical="center"/>
    </xf>
    <xf numFmtId="4" fontId="13" fillId="2" borderId="77" xfId="0" applyNumberFormat="1" applyFont="1" applyFill="1" applyBorder="1" applyAlignment="1" applyProtection="1">
      <alignment horizontal="left" vertical="center"/>
      <protection locked="0"/>
    </xf>
    <xf numFmtId="0" fontId="13" fillId="2" borderId="77" xfId="0" applyFont="1" applyFill="1" applyBorder="1" applyAlignment="1" applyProtection="1">
      <alignment horizontal="left" vertical="center"/>
      <protection locked="0"/>
    </xf>
    <xf numFmtId="0" fontId="13" fillId="2" borderId="69" xfId="0" applyFont="1" applyFill="1" applyBorder="1" applyAlignment="1" applyProtection="1">
      <alignment vertical="center"/>
    </xf>
    <xf numFmtId="0" fontId="13" fillId="2" borderId="71" xfId="0" applyFont="1" applyFill="1" applyBorder="1" applyAlignment="1" applyProtection="1">
      <alignment vertical="center"/>
    </xf>
    <xf numFmtId="4" fontId="13" fillId="2" borderId="79" xfId="0" applyNumberFormat="1" applyFont="1" applyFill="1" applyBorder="1" applyAlignment="1" applyProtection="1">
      <alignment horizontal="left" vertical="center"/>
      <protection locked="0"/>
    </xf>
    <xf numFmtId="0" fontId="13" fillId="2" borderId="79" xfId="0" applyFont="1" applyFill="1" applyBorder="1" applyAlignment="1" applyProtection="1">
      <alignment horizontal="left" vertical="center"/>
      <protection locked="0"/>
    </xf>
    <xf numFmtId="4" fontId="13" fillId="2" borderId="77" xfId="0" applyNumberFormat="1" applyFont="1" applyFill="1" applyBorder="1" applyAlignment="1" applyProtection="1">
      <alignment vertical="center"/>
    </xf>
    <xf numFmtId="4" fontId="13" fillId="2" borderId="77" xfId="0" applyNumberFormat="1" applyFont="1" applyFill="1" applyBorder="1" applyAlignment="1" applyProtection="1">
      <alignment horizontal="left" vertical="center"/>
    </xf>
    <xf numFmtId="0" fontId="13" fillId="2" borderId="77" xfId="0" applyFont="1" applyFill="1" applyBorder="1" applyAlignment="1" applyProtection="1">
      <alignment horizontal="left" vertical="center"/>
    </xf>
    <xf numFmtId="0" fontId="13" fillId="2" borderId="66" xfId="0" applyFont="1" applyFill="1" applyBorder="1" applyAlignment="1" applyProtection="1">
      <alignment vertical="center"/>
    </xf>
    <xf numFmtId="0" fontId="13" fillId="2" borderId="68" xfId="0" applyFont="1" applyFill="1" applyBorder="1" applyAlignment="1" applyProtection="1">
      <alignment vertical="center"/>
    </xf>
    <xf numFmtId="4" fontId="13" fillId="2" borderId="78" xfId="0" applyNumberFormat="1" applyFont="1" applyFill="1" applyBorder="1" applyAlignment="1" applyProtection="1">
      <alignment vertical="center"/>
    </xf>
    <xf numFmtId="4" fontId="13" fillId="2" borderId="78" xfId="0" applyNumberFormat="1" applyFont="1" applyFill="1" applyBorder="1" applyAlignment="1" applyProtection="1">
      <alignment horizontal="left" vertical="center"/>
    </xf>
    <xf numFmtId="0" fontId="13" fillId="2" borderId="78" xfId="0" applyFont="1" applyFill="1" applyBorder="1" applyAlignment="1" applyProtection="1">
      <alignment horizontal="left" vertical="center"/>
    </xf>
    <xf numFmtId="0" fontId="25" fillId="0" borderId="9" xfId="0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horizontal="left" vertical="center"/>
      <protection locked="0"/>
    </xf>
    <xf numFmtId="0" fontId="25" fillId="0" borderId="10" xfId="0" applyFont="1" applyFill="1" applyBorder="1" applyAlignment="1" applyProtection="1">
      <alignment horizontal="left" vertical="center"/>
      <protection locked="0"/>
    </xf>
    <xf numFmtId="0" fontId="13" fillId="2" borderId="57" xfId="0" applyFont="1" applyFill="1" applyBorder="1" applyAlignment="1" applyProtection="1">
      <alignment vertical="center"/>
    </xf>
    <xf numFmtId="0" fontId="13" fillId="2" borderId="59" xfId="0" applyFont="1" applyFill="1" applyBorder="1" applyAlignment="1" applyProtection="1">
      <alignment vertical="center"/>
    </xf>
    <xf numFmtId="4" fontId="13" fillId="2" borderId="76" xfId="0" applyNumberFormat="1" applyFont="1" applyFill="1" applyBorder="1" applyAlignment="1" applyProtection="1">
      <alignment vertical="center"/>
      <protection locked="0"/>
    </xf>
    <xf numFmtId="4" fontId="13" fillId="2" borderId="76" xfId="0" applyNumberFormat="1" applyFont="1" applyFill="1" applyBorder="1" applyAlignment="1" applyProtection="1">
      <alignment horizontal="left" vertical="center"/>
      <protection locked="0"/>
    </xf>
    <xf numFmtId="0" fontId="13" fillId="2" borderId="76" xfId="0" applyFont="1" applyFill="1" applyBorder="1" applyAlignment="1" applyProtection="1">
      <alignment horizontal="left" vertical="center"/>
      <protection locked="0"/>
    </xf>
    <xf numFmtId="4" fontId="9" fillId="2" borderId="77" xfId="0" applyNumberFormat="1" applyFont="1" applyFill="1" applyBorder="1" applyAlignment="1" applyProtection="1">
      <alignment horizontal="right" vertical="center"/>
      <protection locked="0"/>
    </xf>
    <xf numFmtId="1" fontId="9" fillId="2" borderId="101" xfId="0" applyNumberFormat="1" applyFont="1" applyFill="1" applyBorder="1" applyAlignment="1" applyProtection="1">
      <alignment horizontal="center" vertical="center"/>
      <protection locked="0"/>
    </xf>
    <xf numFmtId="1" fontId="9" fillId="2" borderId="78" xfId="0" applyNumberFormat="1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left"/>
    </xf>
    <xf numFmtId="4" fontId="16" fillId="2" borderId="0" xfId="0" applyNumberFormat="1" applyFont="1" applyFill="1" applyBorder="1"/>
    <xf numFmtId="0" fontId="25" fillId="2" borderId="0" xfId="0" quotePrefix="1" applyFont="1" applyFill="1" applyBorder="1" applyAlignment="1">
      <alignment horizontal="left"/>
    </xf>
    <xf numFmtId="4" fontId="9" fillId="2" borderId="75" xfId="0" applyNumberFormat="1" applyFont="1" applyFill="1" applyBorder="1" applyAlignment="1" applyProtection="1">
      <alignment horizontal="left" vertical="center"/>
      <protection locked="0"/>
    </xf>
    <xf numFmtId="4" fontId="8" fillId="2" borderId="104" xfId="131" applyNumberFormat="1" applyFont="1" applyFill="1" applyBorder="1" applyAlignment="1" applyProtection="1">
      <alignment vertical="center"/>
      <protection locked="0"/>
    </xf>
    <xf numFmtId="4" fontId="8" fillId="2" borderId="68" xfId="131" applyNumberFormat="1" applyFont="1" applyFill="1" applyBorder="1" applyAlignment="1" applyProtection="1">
      <alignment vertical="center"/>
      <protection locked="0"/>
    </xf>
    <xf numFmtId="4" fontId="8" fillId="2" borderId="98" xfId="131" applyNumberFormat="1" applyFont="1" applyFill="1" applyBorder="1" applyAlignment="1" applyProtection="1">
      <alignment vertical="center"/>
      <protection locked="0"/>
    </xf>
    <xf numFmtId="4" fontId="8" fillId="2" borderId="71" xfId="131" applyNumberFormat="1" applyFont="1" applyFill="1" applyBorder="1" applyAlignment="1" applyProtection="1">
      <alignment vertical="center"/>
      <protection locked="0"/>
    </xf>
    <xf numFmtId="0" fontId="8" fillId="2" borderId="104" xfId="0" applyNumberFormat="1" applyFont="1" applyFill="1" applyBorder="1" applyAlignment="1" applyProtection="1">
      <alignment horizontal="left" vertical="center"/>
      <protection locked="0"/>
    </xf>
    <xf numFmtId="0" fontId="8" fillId="2" borderId="68" xfId="0" applyNumberFormat="1" applyFont="1" applyFill="1" applyBorder="1" applyAlignment="1" applyProtection="1">
      <alignment horizontal="left" vertical="center"/>
      <protection locked="0"/>
    </xf>
    <xf numFmtId="0" fontId="8" fillId="2" borderId="98" xfId="0" applyNumberFormat="1" applyFont="1" applyFill="1" applyBorder="1" applyAlignment="1" applyProtection="1">
      <alignment horizontal="left" vertical="center"/>
      <protection locked="0"/>
    </xf>
    <xf numFmtId="0" fontId="8" fillId="2" borderId="71" xfId="0" applyNumberFormat="1" applyFont="1" applyFill="1" applyBorder="1" applyAlignment="1" applyProtection="1">
      <alignment horizontal="left" vertical="center"/>
      <protection locked="0"/>
    </xf>
    <xf numFmtId="0" fontId="4" fillId="2" borderId="101" xfId="0" applyNumberFormat="1" applyFont="1" applyFill="1" applyBorder="1" applyAlignment="1" applyProtection="1">
      <alignment horizontal="center" vertical="center"/>
      <protection locked="0"/>
    </xf>
    <xf numFmtId="0" fontId="4" fillId="2" borderId="78" xfId="0" applyNumberFormat="1" applyFont="1" applyFill="1" applyBorder="1" applyAlignment="1" applyProtection="1">
      <alignment horizontal="center" vertical="center"/>
      <protection locked="0"/>
    </xf>
    <xf numFmtId="0" fontId="4" fillId="2" borderId="95" xfId="0" applyNumberFormat="1" applyFont="1" applyFill="1" applyBorder="1" applyAlignment="1" applyProtection="1">
      <alignment horizontal="center" vertical="center"/>
      <protection locked="0"/>
    </xf>
    <xf numFmtId="0" fontId="4" fillId="2" borderId="79" xfId="0" applyNumberFormat="1" applyFont="1" applyFill="1" applyBorder="1" applyAlignment="1" applyProtection="1">
      <alignment horizontal="center" vertical="center"/>
      <protection locked="0"/>
    </xf>
    <xf numFmtId="4" fontId="13" fillId="2" borderId="65" xfId="0" applyNumberFormat="1" applyFont="1" applyFill="1" applyBorder="1" applyAlignment="1" applyProtection="1">
      <alignment horizontal="center" vertical="center"/>
      <protection locked="0"/>
    </xf>
    <xf numFmtId="4" fontId="9" fillId="2" borderId="65" xfId="0" applyNumberFormat="1" applyFont="1" applyFill="1" applyBorder="1" applyAlignment="1" applyProtection="1">
      <alignment horizontal="center" vertical="center"/>
      <protection locked="0"/>
    </xf>
    <xf numFmtId="4" fontId="13" fillId="2" borderId="104" xfId="0" applyNumberFormat="1" applyFont="1" applyFill="1" applyBorder="1" applyAlignment="1" applyProtection="1">
      <alignment horizontal="center" vertical="center"/>
      <protection locked="0"/>
    </xf>
    <xf numFmtId="4" fontId="9" fillId="2" borderId="104" xfId="0" applyNumberFormat="1" applyFont="1" applyFill="1" applyBorder="1" applyAlignment="1" applyProtection="1">
      <alignment horizontal="center" vertical="center"/>
      <protection locked="0"/>
    </xf>
    <xf numFmtId="4" fontId="13" fillId="2" borderId="68" xfId="0" applyNumberFormat="1" applyFont="1" applyFill="1" applyBorder="1" applyAlignment="1" applyProtection="1">
      <alignment horizontal="center" vertical="center"/>
      <protection locked="0"/>
    </xf>
    <xf numFmtId="4" fontId="9" fillId="2" borderId="68" xfId="0" applyNumberFormat="1" applyFont="1" applyFill="1" applyBorder="1" applyAlignment="1" applyProtection="1">
      <alignment horizontal="center" vertical="center"/>
      <protection locked="0"/>
    </xf>
    <xf numFmtId="4" fontId="13" fillId="2" borderId="98" xfId="0" applyNumberFormat="1" applyFont="1" applyFill="1" applyBorder="1" applyAlignment="1" applyProtection="1">
      <alignment horizontal="center" vertical="center"/>
      <protection locked="0"/>
    </xf>
    <xf numFmtId="4" fontId="9" fillId="2" borderId="98" xfId="0" applyNumberFormat="1" applyFont="1" applyFill="1" applyBorder="1" applyAlignment="1" applyProtection="1">
      <alignment horizontal="center" vertical="center"/>
      <protection locked="0"/>
    </xf>
    <xf numFmtId="4" fontId="13" fillId="2" borderId="71" xfId="0" applyNumberFormat="1" applyFont="1" applyFill="1" applyBorder="1" applyAlignment="1" applyProtection="1">
      <alignment horizontal="center" vertical="center"/>
      <protection locked="0"/>
    </xf>
    <xf numFmtId="4" fontId="9" fillId="2" borderId="71" xfId="0" applyNumberFormat="1" applyFont="1" applyFill="1" applyBorder="1" applyAlignment="1" applyProtection="1">
      <alignment horizontal="center" vertical="center"/>
      <protection locked="0"/>
    </xf>
    <xf numFmtId="0" fontId="4" fillId="2" borderId="99" xfId="0" applyFont="1" applyFill="1" applyBorder="1" applyAlignment="1">
      <alignment horizontal="left" vertical="center"/>
    </xf>
    <xf numFmtId="4" fontId="9" fillId="2" borderId="83" xfId="0" applyNumberFormat="1" applyFont="1" applyFill="1" applyBorder="1" applyAlignment="1" applyProtection="1">
      <alignment horizontal="right" vertical="center"/>
      <protection locked="0"/>
    </xf>
    <xf numFmtId="4" fontId="4" fillId="2" borderId="102" xfId="0" applyNumberFormat="1" applyFont="1" applyFill="1" applyBorder="1" applyAlignment="1" applyProtection="1">
      <alignment horizontal="right" vertical="center"/>
      <protection locked="0"/>
    </xf>
    <xf numFmtId="4" fontId="4" fillId="2" borderId="77" xfId="0" applyNumberFormat="1" applyFont="1" applyFill="1" applyBorder="1" applyAlignment="1" applyProtection="1">
      <alignment horizontal="right" vertical="center"/>
      <protection locked="0"/>
    </xf>
    <xf numFmtId="4" fontId="4" fillId="2" borderId="84" xfId="0" applyNumberFormat="1" applyFont="1" applyFill="1" applyBorder="1" applyAlignment="1" applyProtection="1">
      <alignment horizontal="right" vertical="center"/>
      <protection locked="0"/>
    </xf>
    <xf numFmtId="4" fontId="4" fillId="2" borderId="78" xfId="0" applyNumberFormat="1" applyFont="1" applyFill="1" applyBorder="1" applyAlignment="1" applyProtection="1">
      <alignment horizontal="right" vertical="center"/>
      <protection locked="0"/>
    </xf>
    <xf numFmtId="4" fontId="4" fillId="2" borderId="87" xfId="0" applyNumberFormat="1" applyFont="1" applyFill="1" applyBorder="1" applyAlignment="1" applyProtection="1">
      <alignment horizontal="right" vertical="center"/>
      <protection locked="0"/>
    </xf>
    <xf numFmtId="4" fontId="4" fillId="2" borderId="79" xfId="0" applyNumberFormat="1" applyFont="1" applyFill="1" applyBorder="1" applyAlignment="1" applyProtection="1">
      <alignment horizontal="right" vertical="center"/>
      <protection locked="0"/>
    </xf>
    <xf numFmtId="0" fontId="13" fillId="3" borderId="76" xfId="0" applyFont="1" applyFill="1" applyBorder="1" applyAlignment="1">
      <alignment horizontal="center"/>
    </xf>
    <xf numFmtId="0" fontId="13" fillId="3" borderId="42" xfId="0" applyFont="1" applyFill="1" applyBorder="1" applyAlignment="1">
      <alignment horizontal="center"/>
    </xf>
    <xf numFmtId="0" fontId="9" fillId="2" borderId="9" xfId="0" applyFont="1" applyFill="1" applyBorder="1" applyAlignment="1">
      <alignment vertical="center"/>
    </xf>
    <xf numFmtId="0" fontId="9" fillId="2" borderId="77" xfId="0" applyFont="1" applyFill="1" applyBorder="1" applyAlignment="1">
      <alignment vertical="center"/>
    </xf>
    <xf numFmtId="4" fontId="9" fillId="2" borderId="77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50" fillId="2" borderId="0" xfId="0" applyFont="1" applyFill="1" applyAlignment="1">
      <alignment vertical="center"/>
    </xf>
    <xf numFmtId="0" fontId="9" fillId="2" borderId="78" xfId="0" applyFont="1" applyFill="1" applyBorder="1" applyAlignment="1">
      <alignment vertical="center"/>
    </xf>
    <xf numFmtId="0" fontId="9" fillId="2" borderId="78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vertical="center"/>
    </xf>
    <xf numFmtId="0" fontId="9" fillId="3" borderId="78" xfId="0" applyFont="1" applyFill="1" applyBorder="1" applyAlignment="1">
      <alignment vertical="center"/>
    </xf>
    <xf numFmtId="0" fontId="7" fillId="2" borderId="78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vertical="center"/>
    </xf>
    <xf numFmtId="0" fontId="4" fillId="2" borderId="78" xfId="0" applyFont="1" applyFill="1" applyBorder="1" applyAlignment="1">
      <alignment vertical="center"/>
    </xf>
    <xf numFmtId="0" fontId="4" fillId="3" borderId="78" xfId="0" applyFont="1" applyFill="1" applyBorder="1" applyAlignment="1">
      <alignment vertical="center"/>
    </xf>
    <xf numFmtId="0" fontId="4" fillId="2" borderId="78" xfId="0" applyFont="1" applyFill="1" applyBorder="1" applyAlignment="1">
      <alignment horizontal="center" vertical="center"/>
    </xf>
    <xf numFmtId="0" fontId="7" fillId="2" borderId="79" xfId="0" applyFont="1" applyFill="1" applyBorder="1" applyAlignment="1">
      <alignment vertical="center"/>
    </xf>
    <xf numFmtId="0" fontId="9" fillId="2" borderId="79" xfId="0" applyFont="1" applyFill="1" applyBorder="1" applyAlignment="1">
      <alignment vertical="center"/>
    </xf>
    <xf numFmtId="0" fontId="9" fillId="3" borderId="79" xfId="0" applyFont="1" applyFill="1" applyBorder="1" applyAlignment="1">
      <alignment vertical="center"/>
    </xf>
    <xf numFmtId="0" fontId="9" fillId="2" borderId="79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41" fillId="7" borderId="0" xfId="0" applyFont="1" applyFill="1" applyBorder="1" applyAlignment="1">
      <alignment vertical="center"/>
    </xf>
    <xf numFmtId="0" fontId="54" fillId="7" borderId="0" xfId="0" applyFont="1" applyFill="1" applyBorder="1" applyAlignment="1">
      <alignment vertical="center"/>
    </xf>
    <xf numFmtId="0" fontId="3" fillId="2" borderId="6" xfId="0" applyFont="1" applyFill="1" applyBorder="1"/>
    <xf numFmtId="0" fontId="38" fillId="2" borderId="100" xfId="0" applyFont="1" applyFill="1" applyBorder="1" applyAlignment="1" applyProtection="1">
      <alignment horizontal="left" vertical="center"/>
      <protection locked="0"/>
    </xf>
    <xf numFmtId="4" fontId="38" fillId="2" borderId="100" xfId="0" applyNumberFormat="1" applyFont="1" applyFill="1" applyBorder="1" applyAlignment="1" applyProtection="1">
      <alignment horizontal="left" vertical="center"/>
      <protection locked="0"/>
    </xf>
    <xf numFmtId="4" fontId="16" fillId="2" borderId="100" xfId="0" applyNumberFormat="1" applyFont="1" applyFill="1" applyBorder="1" applyAlignment="1" applyProtection="1">
      <alignment horizontal="left" vertical="center"/>
      <protection locked="0"/>
    </xf>
    <xf numFmtId="0" fontId="38" fillId="2" borderId="67" xfId="0" applyFont="1" applyFill="1" applyBorder="1" applyAlignment="1" applyProtection="1">
      <alignment horizontal="left" vertical="center"/>
      <protection locked="0"/>
    </xf>
    <xf numFmtId="4" fontId="38" fillId="2" borderId="67" xfId="0" applyNumberFormat="1" applyFont="1" applyFill="1" applyBorder="1" applyAlignment="1" applyProtection="1">
      <alignment horizontal="left" vertical="center"/>
      <protection locked="0"/>
    </xf>
    <xf numFmtId="4" fontId="16" fillId="2" borderId="67" xfId="0" applyNumberFormat="1" applyFont="1" applyFill="1" applyBorder="1" applyAlignment="1" applyProtection="1">
      <alignment horizontal="left" vertical="center"/>
      <protection locked="0"/>
    </xf>
    <xf numFmtId="4" fontId="9" fillId="2" borderId="65" xfId="0" applyNumberFormat="1" applyFont="1" applyFill="1" applyBorder="1" applyAlignment="1" applyProtection="1">
      <alignment vertical="center"/>
      <protection locked="0"/>
    </xf>
    <xf numFmtId="4" fontId="9" fillId="2" borderId="104" xfId="0" applyNumberFormat="1" applyFont="1" applyFill="1" applyBorder="1" applyAlignment="1" applyProtection="1">
      <alignment vertical="center"/>
      <protection locked="0"/>
    </xf>
    <xf numFmtId="4" fontId="9" fillId="2" borderId="68" xfId="0" applyNumberFormat="1" applyFont="1" applyFill="1" applyBorder="1" applyAlignment="1" applyProtection="1">
      <alignment vertical="center"/>
      <protection locked="0"/>
    </xf>
    <xf numFmtId="4" fontId="9" fillId="2" borderId="98" xfId="0" applyNumberFormat="1" applyFont="1" applyFill="1" applyBorder="1" applyAlignment="1" applyProtection="1">
      <alignment vertical="center"/>
      <protection locked="0"/>
    </xf>
    <xf numFmtId="4" fontId="9" fillId="2" borderId="71" xfId="0" applyNumberFormat="1" applyFont="1" applyFill="1" applyBorder="1" applyAlignment="1" applyProtection="1">
      <alignment vertical="center"/>
      <protection locked="0"/>
    </xf>
    <xf numFmtId="0" fontId="16" fillId="2" borderId="0" xfId="0" applyFont="1" applyFill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34" fillId="3" borderId="76" xfId="132" applyFont="1" applyFill="1" applyBorder="1" applyAlignment="1">
      <alignment horizontal="center" vertical="center" wrapText="1"/>
    </xf>
    <xf numFmtId="0" fontId="34" fillId="3" borderId="15" xfId="132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34" fillId="3" borderId="80" xfId="132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0" xfId="0" applyFont="1" applyFill="1" applyBorder="1" applyAlignment="1" applyProtection="1">
      <protection locked="0"/>
    </xf>
    <xf numFmtId="0" fontId="25" fillId="2" borderId="0" xfId="0" applyFont="1" applyFill="1" applyBorder="1" applyAlignment="1" applyProtection="1">
      <protection locked="0"/>
    </xf>
    <xf numFmtId="0" fontId="21" fillId="0" borderId="0" xfId="0" applyFont="1"/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78" xfId="0" applyFont="1" applyFill="1" applyBorder="1" applyAlignment="1">
      <alignment vertical="center"/>
    </xf>
    <xf numFmtId="0" fontId="2" fillId="3" borderId="78" xfId="0" applyFont="1" applyFill="1" applyBorder="1" applyAlignment="1">
      <alignment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34" fillId="3" borderId="18" xfId="132" applyFont="1" applyFill="1" applyBorder="1" applyAlignment="1">
      <alignment horizontal="center" vertical="center" wrapText="1"/>
    </xf>
    <xf numFmtId="4" fontId="7" fillId="2" borderId="66" xfId="0" applyNumberFormat="1" applyFont="1" applyFill="1" applyBorder="1" applyAlignment="1" applyProtection="1">
      <alignment vertical="center"/>
      <protection locked="0"/>
    </xf>
    <xf numFmtId="4" fontId="7" fillId="2" borderId="93" xfId="0" applyNumberFormat="1" applyFont="1" applyFill="1" applyBorder="1" applyAlignment="1" applyProtection="1">
      <alignment vertical="center"/>
      <protection locked="0"/>
    </xf>
    <xf numFmtId="4" fontId="7" fillId="2" borderId="69" xfId="0" applyNumberFormat="1" applyFont="1" applyFill="1" applyBorder="1" applyAlignment="1" applyProtection="1">
      <alignment vertical="center"/>
      <protection locked="0"/>
    </xf>
    <xf numFmtId="4" fontId="9" fillId="2" borderId="0" xfId="0" applyNumberFormat="1" applyFont="1" applyFill="1" applyBorder="1" applyAlignment="1" applyProtection="1">
      <alignment horizontal="center" vertical="center"/>
      <protection locked="0"/>
    </xf>
    <xf numFmtId="4" fontId="9" fillId="2" borderId="16" xfId="0" applyNumberFormat="1" applyFont="1" applyFill="1" applyBorder="1" applyAlignment="1" applyProtection="1">
      <alignment vertical="center"/>
      <protection locked="0"/>
    </xf>
    <xf numFmtId="0" fontId="34" fillId="3" borderId="62" xfId="132" applyFont="1" applyFill="1" applyBorder="1" applyAlignment="1">
      <alignment horizontal="center" vertical="center" wrapText="1"/>
    </xf>
    <xf numFmtId="0" fontId="34" fillId="3" borderId="184" xfId="132" applyFont="1" applyFill="1" applyBorder="1" applyAlignment="1">
      <alignment horizontal="center" vertical="center" wrapText="1"/>
    </xf>
    <xf numFmtId="4" fontId="9" fillId="2" borderId="186" xfId="0" applyNumberFormat="1" applyFont="1" applyFill="1" applyBorder="1" applyAlignment="1" applyProtection="1">
      <alignment vertical="center"/>
      <protection locked="0"/>
    </xf>
    <xf numFmtId="4" fontId="9" fillId="2" borderId="187" xfId="0" applyNumberFormat="1" applyFont="1" applyFill="1" applyBorder="1" applyAlignment="1" applyProtection="1">
      <alignment vertical="center"/>
      <protection locked="0"/>
    </xf>
    <xf numFmtId="4" fontId="9" fillId="2" borderId="188" xfId="0" applyNumberFormat="1" applyFont="1" applyFill="1" applyBorder="1" applyAlignment="1" applyProtection="1">
      <alignment vertical="center"/>
      <protection locked="0"/>
    </xf>
    <xf numFmtId="4" fontId="9" fillId="2" borderId="189" xfId="0" applyNumberFormat="1" applyFont="1" applyFill="1" applyBorder="1" applyAlignment="1" applyProtection="1">
      <alignment vertical="center"/>
      <protection locked="0"/>
    </xf>
    <xf numFmtId="4" fontId="9" fillId="2" borderId="190" xfId="0" applyNumberFormat="1" applyFont="1" applyFill="1" applyBorder="1" applyAlignment="1" applyProtection="1">
      <alignment vertical="center"/>
      <protection locked="0"/>
    </xf>
    <xf numFmtId="0" fontId="34" fillId="3" borderId="19" xfId="132" applyFont="1" applyFill="1" applyBorder="1" applyAlignment="1">
      <alignment horizontal="center" vertical="center" wrapText="1"/>
    </xf>
    <xf numFmtId="0" fontId="34" fillId="3" borderId="191" xfId="132" applyFont="1" applyFill="1" applyBorder="1" applyAlignment="1">
      <alignment horizontal="center" vertical="center" wrapText="1"/>
    </xf>
    <xf numFmtId="4" fontId="13" fillId="2" borderId="191" xfId="0" applyNumberFormat="1" applyFont="1" applyFill="1" applyBorder="1" applyAlignment="1" applyProtection="1">
      <alignment vertical="center"/>
      <protection locked="0"/>
    </xf>
    <xf numFmtId="4" fontId="9" fillId="2" borderId="193" xfId="0" applyNumberFormat="1" applyFont="1" applyFill="1" applyBorder="1" applyAlignment="1" applyProtection="1">
      <alignment vertical="center"/>
      <protection locked="0"/>
    </xf>
    <xf numFmtId="4" fontId="9" fillId="2" borderId="194" xfId="0" applyNumberFormat="1" applyFont="1" applyFill="1" applyBorder="1" applyAlignment="1" applyProtection="1">
      <alignment vertical="center"/>
      <protection locked="0"/>
    </xf>
    <xf numFmtId="4" fontId="9" fillId="2" borderId="195" xfId="0" applyNumberFormat="1" applyFont="1" applyFill="1" applyBorder="1" applyAlignment="1" applyProtection="1">
      <alignment vertical="center"/>
      <protection locked="0"/>
    </xf>
    <xf numFmtId="4" fontId="9" fillId="2" borderId="196" xfId="0" applyNumberFormat="1" applyFont="1" applyFill="1" applyBorder="1" applyAlignment="1" applyProtection="1">
      <alignment vertical="center"/>
      <protection locked="0"/>
    </xf>
    <xf numFmtId="4" fontId="9" fillId="2" borderId="197" xfId="0" applyNumberFormat="1" applyFont="1" applyFill="1" applyBorder="1" applyAlignment="1" applyProtection="1">
      <alignment vertical="center"/>
      <protection locked="0"/>
    </xf>
    <xf numFmtId="4" fontId="9" fillId="2" borderId="191" xfId="0" applyNumberFormat="1" applyFont="1" applyFill="1" applyBorder="1" applyAlignment="1" applyProtection="1">
      <alignment vertical="center"/>
      <protection locked="0"/>
    </xf>
    <xf numFmtId="4" fontId="9" fillId="2" borderId="199" xfId="0" applyNumberFormat="1" applyFont="1" applyFill="1" applyBorder="1" applyAlignment="1" applyProtection="1">
      <alignment vertical="center"/>
      <protection locked="0"/>
    </xf>
    <xf numFmtId="4" fontId="9" fillId="2" borderId="200" xfId="0" applyNumberFormat="1" applyFont="1" applyFill="1" applyBorder="1" applyAlignment="1" applyProtection="1">
      <alignment vertical="center"/>
      <protection locked="0"/>
    </xf>
    <xf numFmtId="4" fontId="9" fillId="2" borderId="201" xfId="0" applyNumberFormat="1" applyFont="1" applyFill="1" applyBorder="1" applyAlignment="1" applyProtection="1">
      <alignment vertical="center"/>
      <protection locked="0"/>
    </xf>
    <xf numFmtId="4" fontId="9" fillId="2" borderId="202" xfId="0" applyNumberFormat="1" applyFont="1" applyFill="1" applyBorder="1" applyAlignment="1" applyProtection="1">
      <alignment vertical="center"/>
      <protection locked="0"/>
    </xf>
    <xf numFmtId="4" fontId="9" fillId="2" borderId="203" xfId="0" applyNumberFormat="1" applyFont="1" applyFill="1" applyBorder="1" applyAlignment="1" applyProtection="1">
      <alignment vertical="center"/>
      <protection locked="0"/>
    </xf>
    <xf numFmtId="4" fontId="57" fillId="3" borderId="183" xfId="0" applyNumberFormat="1" applyFont="1" applyFill="1" applyBorder="1" applyAlignment="1" applyProtection="1">
      <alignment vertical="center"/>
    </xf>
    <xf numFmtId="4" fontId="57" fillId="3" borderId="185" xfId="0" applyNumberFormat="1" applyFont="1" applyFill="1" applyBorder="1" applyAlignment="1" applyProtection="1">
      <alignment vertical="center"/>
    </xf>
    <xf numFmtId="4" fontId="57" fillId="3" borderId="75" xfId="0" applyNumberFormat="1" applyFont="1" applyFill="1" applyBorder="1" applyAlignment="1" applyProtection="1">
      <alignment vertical="center"/>
    </xf>
    <xf numFmtId="0" fontId="34" fillId="3" borderId="57" xfId="132" applyFont="1" applyFill="1" applyBorder="1" applyAlignment="1">
      <alignment horizontal="center" vertical="center" wrapText="1"/>
    </xf>
    <xf numFmtId="0" fontId="34" fillId="3" borderId="60" xfId="132" applyFont="1" applyFill="1" applyBorder="1" applyAlignment="1">
      <alignment horizontal="center" vertical="center" wrapText="1"/>
    </xf>
    <xf numFmtId="0" fontId="34" fillId="3" borderId="204" xfId="132" applyFont="1" applyFill="1" applyBorder="1" applyAlignment="1">
      <alignment horizontal="center" vertical="center" wrapText="1"/>
    </xf>
    <xf numFmtId="0" fontId="34" fillId="3" borderId="61" xfId="132" applyFont="1" applyFill="1" applyBorder="1" applyAlignment="1">
      <alignment horizontal="center" vertical="center" wrapText="1"/>
    </xf>
    <xf numFmtId="4" fontId="20" fillId="2" borderId="104" xfId="0" applyNumberFormat="1" applyFont="1" applyFill="1" applyBorder="1" applyAlignment="1" applyProtection="1">
      <alignment horizontal="right" vertical="center"/>
      <protection locked="0"/>
    </xf>
    <xf numFmtId="4" fontId="19" fillId="2" borderId="104" xfId="0" applyNumberFormat="1" applyFont="1" applyFill="1" applyBorder="1" applyAlignment="1" applyProtection="1">
      <alignment horizontal="right" vertical="center"/>
      <protection locked="0"/>
    </xf>
    <xf numFmtId="4" fontId="13" fillId="2" borderId="104" xfId="0" applyNumberFormat="1" applyFont="1" applyFill="1" applyBorder="1" applyAlignment="1" applyProtection="1">
      <alignment horizontal="right" vertical="center"/>
      <protection locked="0"/>
    </xf>
    <xf numFmtId="4" fontId="13" fillId="0" borderId="77" xfId="0" applyNumberFormat="1" applyFont="1" applyFill="1" applyBorder="1" applyAlignment="1" applyProtection="1">
      <alignment vertical="center"/>
      <protection locked="0"/>
    </xf>
    <xf numFmtId="4" fontId="19" fillId="12" borderId="104" xfId="0" applyNumberFormat="1" applyFont="1" applyFill="1" applyBorder="1" applyAlignment="1" applyProtection="1">
      <alignment horizontal="right" vertical="center"/>
      <protection locked="0"/>
    </xf>
    <xf numFmtId="14" fontId="9" fillId="2" borderId="101" xfId="0" applyNumberFormat="1" applyFont="1" applyFill="1" applyBorder="1" applyAlignment="1" applyProtection="1">
      <alignment horizontal="center" vertical="center"/>
      <protection locked="0"/>
    </xf>
    <xf numFmtId="0" fontId="2" fillId="2" borderId="100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>
      <alignment vertical="center"/>
    </xf>
    <xf numFmtId="0" fontId="24" fillId="2" borderId="12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horizontal="center" vertical="center"/>
    </xf>
    <xf numFmtId="0" fontId="2" fillId="2" borderId="0" xfId="0" applyFont="1" applyFill="1"/>
    <xf numFmtId="0" fontId="54" fillId="2" borderId="0" xfId="0" applyFont="1" applyFill="1" applyBorder="1" applyAlignment="1">
      <alignment vertical="center"/>
    </xf>
    <xf numFmtId="0" fontId="14" fillId="2" borderId="0" xfId="0" applyFont="1" applyFill="1" applyProtection="1"/>
    <xf numFmtId="0" fontId="51" fillId="2" borderId="0" xfId="0" applyFont="1" applyFill="1" applyProtection="1"/>
    <xf numFmtId="0" fontId="14" fillId="0" borderId="0" xfId="0" applyFont="1" applyProtection="1"/>
    <xf numFmtId="0" fontId="14" fillId="2" borderId="0" xfId="0" applyFont="1" applyFill="1" applyAlignment="1" applyProtection="1">
      <alignment vertical="center"/>
    </xf>
    <xf numFmtId="0" fontId="51" fillId="2" borderId="0" xfId="0" applyFont="1" applyFill="1" applyAlignment="1" applyProtection="1">
      <alignment vertical="center"/>
    </xf>
    <xf numFmtId="0" fontId="50" fillId="2" borderId="0" xfId="0" applyFont="1" applyFill="1" applyAlignment="1" applyProtection="1">
      <alignment vertical="center"/>
    </xf>
    <xf numFmtId="0" fontId="50" fillId="2" borderId="0" xfId="0" applyFont="1" applyFill="1" applyProtection="1"/>
    <xf numFmtId="0" fontId="34" fillId="2" borderId="0" xfId="132" applyFont="1" applyFill="1" applyBorder="1" applyAlignment="1" applyProtection="1">
      <alignment horizontal="center" wrapText="1"/>
    </xf>
    <xf numFmtId="4" fontId="9" fillId="2" borderId="0" xfId="0" applyNumberFormat="1" applyFont="1" applyFill="1" applyBorder="1" applyAlignment="1" applyProtection="1">
      <alignment vertical="center"/>
    </xf>
    <xf numFmtId="0" fontId="20" fillId="2" borderId="0" xfId="0" applyFont="1" applyFill="1" applyBorder="1" applyAlignment="1" applyProtection="1">
      <alignment horizontal="left"/>
    </xf>
    <xf numFmtId="0" fontId="20" fillId="2" borderId="0" xfId="0" applyFont="1" applyFill="1" applyBorder="1" applyAlignment="1" applyProtection="1">
      <alignment horizontal="center"/>
    </xf>
    <xf numFmtId="0" fontId="13" fillId="2" borderId="73" xfId="0" applyFont="1" applyFill="1" applyBorder="1" applyAlignment="1" applyProtection="1">
      <alignment horizontal="left" vertical="center"/>
    </xf>
    <xf numFmtId="0" fontId="13" fillId="2" borderId="74" xfId="0" applyFont="1" applyFill="1" applyBorder="1" applyAlignment="1" applyProtection="1">
      <alignment horizontal="left" vertical="center"/>
    </xf>
    <xf numFmtId="4" fontId="13" fillId="2" borderId="73" xfId="0" applyNumberFormat="1" applyFont="1" applyFill="1" applyBorder="1" applyAlignment="1" applyProtection="1">
      <alignment vertical="center"/>
    </xf>
    <xf numFmtId="4" fontId="13" fillId="0" borderId="185" xfId="0" applyNumberFormat="1" applyFont="1" applyFill="1" applyBorder="1" applyAlignment="1" applyProtection="1">
      <alignment vertical="center"/>
    </xf>
    <xf numFmtId="4" fontId="13" fillId="2" borderId="198" xfId="0" applyNumberFormat="1" applyFont="1" applyFill="1" applyBorder="1" applyAlignment="1" applyProtection="1">
      <alignment vertical="center"/>
    </xf>
    <xf numFmtId="4" fontId="13" fillId="2" borderId="75" xfId="0" applyNumberFormat="1" applyFont="1" applyFill="1" applyBorder="1" applyAlignment="1" applyProtection="1">
      <alignment horizontal="center" vertical="center"/>
    </xf>
    <xf numFmtId="4" fontId="13" fillId="2" borderId="72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/>
    <xf numFmtId="4" fontId="18" fillId="2" borderId="0" xfId="0" applyNumberFormat="1" applyFont="1" applyFill="1" applyBorder="1" applyAlignment="1" applyProtection="1">
      <alignment horizontal="left" vertical="center"/>
    </xf>
    <xf numFmtId="4" fontId="13" fillId="2" borderId="0" xfId="0" applyNumberFormat="1" applyFont="1" applyFill="1" applyBorder="1" applyAlignment="1" applyProtection="1">
      <alignment vertical="center"/>
    </xf>
    <xf numFmtId="0" fontId="2" fillId="2" borderId="63" xfId="0" applyFont="1" applyFill="1" applyBorder="1" applyAlignment="1" applyProtection="1">
      <alignment vertical="center"/>
      <protection locked="0"/>
    </xf>
    <xf numFmtId="0" fontId="4" fillId="0" borderId="78" xfId="0" applyFont="1" applyFill="1" applyBorder="1" applyAlignment="1">
      <alignment horizontal="center" vertical="center"/>
    </xf>
    <xf numFmtId="0" fontId="24" fillId="0" borderId="6" xfId="0" applyFont="1" applyFill="1" applyBorder="1" applyAlignment="1" applyProtection="1">
      <alignment horizontal="left"/>
    </xf>
    <xf numFmtId="0" fontId="24" fillId="0" borderId="7" xfId="0" applyFont="1" applyFill="1" applyBorder="1" applyAlignment="1" applyProtection="1">
      <alignment horizontal="left"/>
    </xf>
    <xf numFmtId="0" fontId="24" fillId="0" borderId="8" xfId="0" applyFont="1" applyFill="1" applyBorder="1" applyAlignment="1" applyProtection="1">
      <alignment horizontal="left"/>
    </xf>
    <xf numFmtId="0" fontId="24" fillId="0" borderId="9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left"/>
    </xf>
    <xf numFmtId="0" fontId="24" fillId="0" borderId="10" xfId="0" applyFont="1" applyFill="1" applyBorder="1" applyAlignment="1" applyProtection="1">
      <alignment horizontal="left"/>
    </xf>
    <xf numFmtId="0" fontId="18" fillId="2" borderId="10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vertical="center"/>
    </xf>
    <xf numFmtId="0" fontId="13" fillId="3" borderId="76" xfId="0" applyFont="1" applyFill="1" applyBorder="1" applyAlignment="1" applyProtection="1">
      <alignment horizontal="center" vertical="center"/>
    </xf>
    <xf numFmtId="0" fontId="13" fillId="3" borderId="58" xfId="0" applyFont="1" applyFill="1" applyBorder="1" applyAlignment="1" applyProtection="1">
      <alignment horizontal="center" vertical="center"/>
    </xf>
    <xf numFmtId="0" fontId="19" fillId="3" borderId="76" xfId="0" applyFont="1" applyFill="1" applyBorder="1" applyAlignment="1" applyProtection="1">
      <alignment horizontal="center" vertical="center"/>
    </xf>
    <xf numFmtId="0" fontId="13" fillId="3" borderId="76" xfId="0" applyFont="1" applyFill="1" applyBorder="1" applyAlignment="1" applyProtection="1">
      <alignment horizontal="center" vertical="center" wrapText="1"/>
    </xf>
    <xf numFmtId="0" fontId="13" fillId="3" borderId="80" xfId="0" applyFont="1" applyFill="1" applyBorder="1" applyAlignment="1" applyProtection="1">
      <alignment horizontal="center" vertical="center"/>
    </xf>
    <xf numFmtId="0" fontId="13" fillId="3" borderId="20" xfId="0" applyFont="1" applyFill="1" applyBorder="1" applyAlignment="1" applyProtection="1">
      <alignment horizontal="center" vertical="center"/>
    </xf>
    <xf numFmtId="0" fontId="13" fillId="3" borderId="87" xfId="0" applyFont="1" applyFill="1" applyBorder="1" applyAlignment="1" applyProtection="1">
      <alignment horizontal="center" vertical="center"/>
    </xf>
    <xf numFmtId="0" fontId="13" fillId="3" borderId="71" xfId="0" applyFont="1" applyFill="1" applyBorder="1" applyAlignment="1" applyProtection="1">
      <alignment horizontal="center" vertical="center"/>
    </xf>
    <xf numFmtId="4" fontId="13" fillId="3" borderId="101" xfId="0" applyNumberFormat="1" applyFont="1" applyFill="1" applyBorder="1" applyAlignment="1" applyProtection="1">
      <alignment horizontal="right" vertical="center"/>
    </xf>
    <xf numFmtId="4" fontId="13" fillId="3" borderId="78" xfId="0" applyNumberFormat="1" applyFont="1" applyFill="1" applyBorder="1" applyAlignment="1" applyProtection="1">
      <alignment horizontal="right" vertical="center"/>
    </xf>
    <xf numFmtId="4" fontId="13" fillId="3" borderId="79" xfId="0" applyNumberFormat="1" applyFont="1" applyFill="1" applyBorder="1" applyAlignment="1" applyProtection="1">
      <alignment horizontal="right" vertical="center"/>
    </xf>
    <xf numFmtId="4" fontId="13" fillId="2" borderId="90" xfId="0" applyNumberFormat="1" applyFont="1" applyFill="1" applyBorder="1" applyAlignment="1" applyProtection="1">
      <alignment vertical="center"/>
    </xf>
    <xf numFmtId="4" fontId="13" fillId="2" borderId="91" xfId="0" applyNumberFormat="1" applyFont="1" applyFill="1" applyBorder="1" applyAlignment="1" applyProtection="1">
      <alignment vertical="center"/>
    </xf>
    <xf numFmtId="4" fontId="13" fillId="2" borderId="92" xfId="0" applyNumberFormat="1" applyFont="1" applyFill="1" applyBorder="1" applyAlignment="1" applyProtection="1">
      <alignment vertical="center"/>
    </xf>
    <xf numFmtId="4" fontId="13" fillId="3" borderId="91" xfId="0" applyNumberFormat="1" applyFont="1" applyFill="1" applyBorder="1" applyAlignment="1" applyProtection="1">
      <alignment vertical="center"/>
    </xf>
    <xf numFmtId="4" fontId="24" fillId="0" borderId="9" xfId="0" applyNumberFormat="1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>
      <alignment horizontal="center" vertical="center"/>
    </xf>
    <xf numFmtId="4" fontId="13" fillId="3" borderId="77" xfId="0" applyNumberFormat="1" applyFont="1" applyFill="1" applyBorder="1" applyAlignment="1" applyProtection="1">
      <alignment horizontal="right" vertical="center"/>
    </xf>
    <xf numFmtId="0" fontId="24" fillId="2" borderId="9" xfId="0" applyFont="1" applyFill="1" applyBorder="1" applyAlignment="1" applyProtection="1">
      <alignment horizontal="left" vertical="center"/>
    </xf>
    <xf numFmtId="0" fontId="24" fillId="2" borderId="0" xfId="0" applyFont="1" applyFill="1" applyBorder="1" applyAlignment="1" applyProtection="1">
      <alignment horizontal="left" vertical="center"/>
    </xf>
    <xf numFmtId="4" fontId="25" fillId="2" borderId="0" xfId="0" applyNumberFormat="1" applyFont="1" applyFill="1" applyBorder="1" applyAlignment="1" applyProtection="1">
      <alignment vertical="center"/>
    </xf>
    <xf numFmtId="4" fontId="25" fillId="2" borderId="0" xfId="0" applyNumberFormat="1" applyFont="1" applyFill="1" applyBorder="1" applyAlignment="1" applyProtection="1">
      <alignment horizontal="left" vertical="center"/>
    </xf>
    <xf numFmtId="0" fontId="24" fillId="2" borderId="10" xfId="0" applyFont="1" applyFill="1" applyBorder="1" applyAlignment="1" applyProtection="1">
      <alignment horizontal="left" vertical="center"/>
    </xf>
    <xf numFmtId="0" fontId="24" fillId="2" borderId="0" xfId="0" applyFont="1" applyFill="1" applyAlignment="1" applyProtection="1">
      <alignment horizontal="left" vertical="center"/>
    </xf>
    <xf numFmtId="0" fontId="24" fillId="0" borderId="9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0" fontId="24" fillId="0" borderId="10" xfId="0" applyFont="1" applyFill="1" applyBorder="1" applyAlignment="1" applyProtection="1">
      <alignment horizontal="left" vertical="center"/>
    </xf>
    <xf numFmtId="0" fontId="24" fillId="2" borderId="0" xfId="0" quotePrefix="1" applyFont="1" applyFill="1" applyBorder="1" applyAlignment="1" applyProtection="1">
      <alignment horizontal="left" vertical="center"/>
    </xf>
    <xf numFmtId="0" fontId="24" fillId="2" borderId="0" xfId="0" quotePrefix="1" applyFont="1" applyFill="1" applyAlignment="1" applyProtection="1">
      <alignment horizontal="left" vertical="center"/>
    </xf>
    <xf numFmtId="4" fontId="24" fillId="2" borderId="0" xfId="0" applyNumberFormat="1" applyFont="1" applyFill="1" applyBorder="1" applyAlignment="1" applyProtection="1">
      <alignment horizontal="left" vertical="center"/>
    </xf>
    <xf numFmtId="0" fontId="24" fillId="0" borderId="11" xfId="0" applyFont="1" applyFill="1" applyBorder="1" applyAlignment="1" applyProtection="1">
      <alignment horizontal="left"/>
    </xf>
    <xf numFmtId="0" fontId="24" fillId="0" borderId="12" xfId="0" applyFont="1" applyFill="1" applyBorder="1" applyAlignment="1" applyProtection="1">
      <alignment horizontal="left"/>
    </xf>
    <xf numFmtId="0" fontId="24" fillId="0" borderId="13" xfId="0" applyFont="1" applyFill="1" applyBorder="1" applyAlignment="1" applyProtection="1">
      <alignment horizontal="left"/>
    </xf>
    <xf numFmtId="4" fontId="23" fillId="2" borderId="0" xfId="0" applyNumberFormat="1" applyFont="1" applyFill="1" applyAlignment="1" applyProtection="1">
      <alignment horizontal="right"/>
    </xf>
    <xf numFmtId="4" fontId="2" fillId="2" borderId="101" xfId="0" applyNumberFormat="1" applyFont="1" applyFill="1" applyBorder="1" applyAlignment="1" applyProtection="1">
      <alignment horizontal="right" vertical="center"/>
      <protection locked="0"/>
    </xf>
    <xf numFmtId="4" fontId="24" fillId="2" borderId="0" xfId="0" applyNumberFormat="1" applyFont="1" applyFill="1" applyAlignment="1" applyProtection="1">
      <alignment horizontal="right"/>
    </xf>
    <xf numFmtId="4" fontId="2" fillId="2" borderId="0" xfId="0" applyNumberFormat="1" applyFont="1" applyFill="1" applyBorder="1" applyAlignment="1" applyProtection="1">
      <alignment horizontal="left" vertical="center"/>
    </xf>
    <xf numFmtId="4" fontId="2" fillId="2" borderId="0" xfId="0" applyNumberFormat="1" applyFont="1" applyFill="1" applyBorder="1" applyAlignment="1" applyProtection="1">
      <alignment horizontal="right" vertical="center"/>
    </xf>
    <xf numFmtId="4" fontId="24" fillId="2" borderId="6" xfId="0" applyNumberFormat="1" applyFont="1" applyFill="1" applyBorder="1" applyAlignment="1" applyProtection="1">
      <alignment horizontal="left"/>
    </xf>
    <xf numFmtId="4" fontId="24" fillId="2" borderId="7" xfId="0" applyNumberFormat="1" applyFont="1" applyFill="1" applyBorder="1" applyAlignment="1" applyProtection="1">
      <alignment horizontal="right"/>
    </xf>
    <xf numFmtId="4" fontId="24" fillId="2" borderId="8" xfId="0" applyNumberFormat="1" applyFont="1" applyFill="1" applyBorder="1" applyAlignment="1" applyProtection="1">
      <alignment horizontal="left"/>
    </xf>
    <xf numFmtId="4" fontId="24" fillId="2" borderId="9" xfId="0" applyNumberFormat="1" applyFont="1" applyFill="1" applyBorder="1" applyAlignment="1" applyProtection="1">
      <alignment horizontal="left"/>
    </xf>
    <xf numFmtId="4" fontId="13" fillId="2" borderId="0" xfId="0" applyNumberFormat="1" applyFont="1" applyFill="1" applyBorder="1" applyAlignment="1" applyProtection="1">
      <alignment horizontal="left"/>
    </xf>
    <xf numFmtId="4" fontId="24" fillId="2" borderId="0" xfId="0" applyNumberFormat="1" applyFont="1" applyFill="1" applyBorder="1" applyAlignment="1" applyProtection="1">
      <alignment horizontal="right"/>
    </xf>
    <xf numFmtId="4" fontId="24" fillId="2" borderId="10" xfId="0" applyNumberFormat="1" applyFont="1" applyFill="1" applyBorder="1" applyAlignment="1" applyProtection="1">
      <alignment horizontal="left"/>
    </xf>
    <xf numFmtId="4" fontId="25" fillId="2" borderId="0" xfId="0" applyNumberFormat="1" applyFont="1" applyFill="1" applyBorder="1" applyAlignment="1" applyProtection="1">
      <alignment horizontal="left"/>
    </xf>
    <xf numFmtId="4" fontId="2" fillId="2" borderId="9" xfId="0" applyNumberFormat="1" applyFont="1" applyFill="1" applyBorder="1" applyAlignment="1" applyProtection="1">
      <alignment horizontal="left"/>
    </xf>
    <xf numFmtId="4" fontId="13" fillId="4" borderId="0" xfId="0" applyNumberFormat="1" applyFont="1" applyFill="1" applyBorder="1" applyAlignment="1" applyProtection="1">
      <alignment horizontal="left" vertical="center"/>
    </xf>
    <xf numFmtId="4" fontId="2" fillId="2" borderId="10" xfId="0" applyNumberFormat="1" applyFont="1" applyFill="1" applyBorder="1" applyAlignment="1" applyProtection="1">
      <alignment horizontal="left"/>
    </xf>
    <xf numFmtId="4" fontId="2" fillId="2" borderId="0" xfId="0" applyNumberFormat="1" applyFont="1" applyFill="1" applyAlignment="1" applyProtection="1">
      <alignment horizontal="left"/>
    </xf>
    <xf numFmtId="4" fontId="18" fillId="2" borderId="9" xfId="0" applyNumberFormat="1" applyFont="1" applyFill="1" applyBorder="1" applyAlignment="1" applyProtection="1">
      <alignment horizontal="left"/>
    </xf>
    <xf numFmtId="4" fontId="16" fillId="5" borderId="0" xfId="0" applyNumberFormat="1" applyFont="1" applyFill="1" applyBorder="1" applyAlignment="1" applyProtection="1">
      <alignment horizontal="right" vertical="center"/>
    </xf>
    <xf numFmtId="4" fontId="18" fillId="2" borderId="10" xfId="0" applyNumberFormat="1" applyFont="1" applyFill="1" applyBorder="1" applyAlignment="1" applyProtection="1">
      <alignment horizontal="left"/>
    </xf>
    <xf numFmtId="4" fontId="16" fillId="2" borderId="0" xfId="0" applyNumberFormat="1" applyFont="1" applyFill="1" applyAlignment="1" applyProtection="1">
      <alignment horizontal="left" vertical="center"/>
    </xf>
    <xf numFmtId="4" fontId="20" fillId="2" borderId="9" xfId="0" applyNumberFormat="1" applyFont="1" applyFill="1" applyBorder="1" applyAlignment="1" applyProtection="1">
      <alignment horizontal="left"/>
    </xf>
    <xf numFmtId="4" fontId="2" fillId="2" borderId="0" xfId="0" applyNumberFormat="1" applyFont="1" applyFill="1" applyBorder="1" applyAlignment="1" applyProtection="1">
      <alignment horizontal="center" vertical="center"/>
    </xf>
    <xf numFmtId="4" fontId="58" fillId="2" borderId="9" xfId="0" applyNumberFormat="1" applyFont="1" applyFill="1" applyBorder="1" applyAlignment="1" applyProtection="1">
      <alignment horizontal="left" vertical="center"/>
    </xf>
    <xf numFmtId="4" fontId="16" fillId="3" borderId="18" xfId="0" applyNumberFormat="1" applyFont="1" applyFill="1" applyBorder="1" applyAlignment="1" applyProtection="1">
      <alignment horizontal="right" vertical="center"/>
    </xf>
    <xf numFmtId="4" fontId="58" fillId="2" borderId="10" xfId="0" applyNumberFormat="1" applyFont="1" applyFill="1" applyBorder="1" applyAlignment="1" applyProtection="1">
      <alignment horizontal="left" vertical="center"/>
    </xf>
    <xf numFmtId="4" fontId="58" fillId="2" borderId="0" xfId="0" applyNumberFormat="1" applyFont="1" applyFill="1" applyAlignment="1" applyProtection="1">
      <alignment horizontal="left" vertical="center"/>
    </xf>
    <xf numFmtId="4" fontId="16" fillId="2" borderId="0" xfId="0" applyNumberFormat="1" applyFont="1" applyFill="1" applyBorder="1" applyAlignment="1" applyProtection="1">
      <alignment vertical="center"/>
    </xf>
    <xf numFmtId="4" fontId="16" fillId="2" borderId="9" xfId="0" applyNumberFormat="1" applyFont="1" applyFill="1" applyBorder="1" applyAlignment="1" applyProtection="1">
      <alignment horizontal="left"/>
    </xf>
    <xf numFmtId="4" fontId="16" fillId="2" borderId="16" xfId="0" applyNumberFormat="1" applyFont="1" applyFill="1" applyBorder="1" applyAlignment="1" applyProtection="1">
      <alignment horizontal="center" vertical="center"/>
    </xf>
    <xf numFmtId="4" fontId="16" fillId="2" borderId="18" xfId="0" applyNumberFormat="1" applyFont="1" applyFill="1" applyBorder="1" applyAlignment="1" applyProtection="1">
      <alignment horizontal="left" vertical="center"/>
    </xf>
    <xf numFmtId="4" fontId="16" fillId="2" borderId="18" xfId="0" applyNumberFormat="1" applyFont="1" applyFill="1" applyBorder="1" applyAlignment="1" applyProtection="1">
      <alignment horizontal="right" vertical="center"/>
    </xf>
    <xf numFmtId="4" fontId="16" fillId="2" borderId="15" xfId="0" applyNumberFormat="1" applyFont="1" applyFill="1" applyBorder="1" applyAlignment="1" applyProtection="1">
      <alignment vertical="center"/>
    </xf>
    <xf numFmtId="4" fontId="16" fillId="2" borderId="10" xfId="0" applyNumberFormat="1" applyFont="1" applyFill="1" applyBorder="1" applyAlignment="1" applyProtection="1">
      <alignment horizontal="left"/>
    </xf>
    <xf numFmtId="4" fontId="16" fillId="2" borderId="0" xfId="0" applyNumberFormat="1" applyFont="1" applyFill="1" applyAlignment="1" applyProtection="1">
      <alignment horizontal="left"/>
    </xf>
    <xf numFmtId="4" fontId="59" fillId="2" borderId="99" xfId="0" applyNumberFormat="1" applyFont="1" applyFill="1" applyBorder="1" applyAlignment="1" applyProtection="1">
      <alignment horizontal="center" vertical="center"/>
    </xf>
    <xf numFmtId="4" fontId="60" fillId="2" borderId="104" xfId="0" applyNumberFormat="1" applyFont="1" applyFill="1" applyBorder="1" applyAlignment="1" applyProtection="1">
      <alignment horizontal="left" vertical="center"/>
    </xf>
    <xf numFmtId="4" fontId="60" fillId="2" borderId="104" xfId="0" applyNumberFormat="1" applyFont="1" applyFill="1" applyBorder="1" applyAlignment="1" applyProtection="1">
      <alignment horizontal="right" vertical="center"/>
    </xf>
    <xf numFmtId="4" fontId="60" fillId="3" borderId="104" xfId="0" applyNumberFormat="1" applyFont="1" applyFill="1" applyBorder="1" applyAlignment="1" applyProtection="1">
      <alignment horizontal="right" vertical="center"/>
    </xf>
    <xf numFmtId="4" fontId="20" fillId="2" borderId="101" xfId="0" applyNumberFormat="1" applyFont="1" applyFill="1" applyBorder="1" applyAlignment="1" applyProtection="1">
      <alignment vertical="center"/>
    </xf>
    <xf numFmtId="4" fontId="20" fillId="2" borderId="10" xfId="0" applyNumberFormat="1" applyFont="1" applyFill="1" applyBorder="1" applyAlignment="1" applyProtection="1">
      <alignment horizontal="left"/>
    </xf>
    <xf numFmtId="4" fontId="20" fillId="2" borderId="0" xfId="0" applyNumberFormat="1" applyFont="1" applyFill="1" applyAlignment="1" applyProtection="1">
      <alignment horizontal="left"/>
    </xf>
    <xf numFmtId="4" fontId="39" fillId="2" borderId="0" xfId="0" applyNumberFormat="1" applyFont="1" applyFill="1" applyAlignment="1" applyProtection="1">
      <alignment horizontal="left"/>
    </xf>
    <xf numFmtId="4" fontId="59" fillId="2" borderId="63" xfId="0" applyNumberFormat="1" applyFont="1" applyFill="1" applyBorder="1" applyAlignment="1" applyProtection="1">
      <alignment horizontal="center" vertical="center"/>
    </xf>
    <xf numFmtId="4" fontId="60" fillId="2" borderId="65" xfId="0" applyNumberFormat="1" applyFont="1" applyFill="1" applyBorder="1" applyAlignment="1" applyProtection="1">
      <alignment horizontal="left" vertical="center"/>
    </xf>
    <xf numFmtId="4" fontId="60" fillId="2" borderId="65" xfId="0" applyNumberFormat="1" applyFont="1" applyFill="1" applyBorder="1" applyAlignment="1" applyProtection="1">
      <alignment horizontal="right" vertical="center"/>
    </xf>
    <xf numFmtId="4" fontId="13" fillId="2" borderId="9" xfId="0" applyNumberFormat="1" applyFont="1" applyFill="1" applyBorder="1" applyAlignment="1" applyProtection="1">
      <alignment horizontal="left"/>
    </xf>
    <xf numFmtId="4" fontId="13" fillId="2" borderId="10" xfId="0" applyNumberFormat="1" applyFont="1" applyFill="1" applyBorder="1" applyAlignment="1" applyProtection="1">
      <alignment horizontal="left"/>
    </xf>
    <xf numFmtId="4" fontId="13" fillId="2" borderId="0" xfId="0" applyNumberFormat="1" applyFont="1" applyFill="1" applyAlignment="1" applyProtection="1">
      <alignment horizontal="left"/>
    </xf>
    <xf numFmtId="4" fontId="18" fillId="2" borderId="9" xfId="0" applyNumberFormat="1" applyFont="1" applyFill="1" applyBorder="1" applyAlignment="1" applyProtection="1">
      <alignment vertical="center"/>
    </xf>
    <xf numFmtId="4" fontId="16" fillId="3" borderId="18" xfId="0" applyNumberFormat="1" applyFont="1" applyFill="1" applyBorder="1" applyAlignment="1" applyProtection="1">
      <alignment vertical="center"/>
    </xf>
    <xf numFmtId="4" fontId="18" fillId="2" borderId="10" xfId="0" applyNumberFormat="1" applyFont="1" applyFill="1" applyBorder="1" applyAlignment="1" applyProtection="1">
      <alignment vertical="center"/>
    </xf>
    <xf numFmtId="4" fontId="18" fillId="2" borderId="0" xfId="0" applyNumberFormat="1" applyFont="1" applyFill="1" applyAlignment="1" applyProtection="1">
      <alignment vertical="center"/>
    </xf>
    <xf numFmtId="4" fontId="13" fillId="2" borderId="0" xfId="0" applyNumberFormat="1" applyFont="1" applyFill="1" applyBorder="1" applyAlignment="1" applyProtection="1">
      <alignment horizontal="left" vertical="center"/>
    </xf>
    <xf numFmtId="4" fontId="61" fillId="2" borderId="104" xfId="0" applyNumberFormat="1" applyFont="1" applyFill="1" applyBorder="1" applyAlignment="1" applyProtection="1">
      <alignment horizontal="left" vertical="center"/>
    </xf>
    <xf numFmtId="4" fontId="20" fillId="2" borderId="104" xfId="0" applyNumberFormat="1" applyFont="1" applyFill="1" applyBorder="1" applyAlignment="1" applyProtection="1">
      <alignment horizontal="right" vertical="center"/>
    </xf>
    <xf numFmtId="4" fontId="70" fillId="2" borderId="0" xfId="0" applyNumberFormat="1" applyFont="1" applyFill="1" applyAlignment="1" applyProtection="1">
      <alignment horizontal="left"/>
    </xf>
    <xf numFmtId="4" fontId="19" fillId="2" borderId="9" xfId="0" applyNumberFormat="1" applyFont="1" applyFill="1" applyBorder="1" applyAlignment="1" applyProtection="1">
      <alignment horizontal="left"/>
    </xf>
    <xf numFmtId="4" fontId="19" fillId="3" borderId="104" xfId="0" applyNumberFormat="1" applyFont="1" applyFill="1" applyBorder="1" applyAlignment="1" applyProtection="1">
      <alignment horizontal="right" vertical="center"/>
    </xf>
    <xf numFmtId="4" fontId="19" fillId="2" borderId="10" xfId="0" applyNumberFormat="1" applyFont="1" applyFill="1" applyBorder="1" applyAlignment="1" applyProtection="1">
      <alignment horizontal="left"/>
    </xf>
    <xf numFmtId="4" fontId="19" fillId="2" borderId="0" xfId="0" applyNumberFormat="1" applyFont="1" applyFill="1" applyAlignment="1" applyProtection="1">
      <alignment horizontal="left"/>
    </xf>
    <xf numFmtId="4" fontId="18" fillId="2" borderId="9" xfId="0" applyNumberFormat="1" applyFont="1" applyFill="1" applyBorder="1" applyAlignment="1" applyProtection="1">
      <alignment horizontal="left" vertical="center"/>
    </xf>
    <xf numFmtId="4" fontId="18" fillId="2" borderId="10" xfId="0" applyNumberFormat="1" applyFont="1" applyFill="1" applyBorder="1" applyAlignment="1" applyProtection="1">
      <alignment horizontal="left" vertical="center"/>
    </xf>
    <xf numFmtId="4" fontId="18" fillId="2" borderId="0" xfId="0" applyNumberFormat="1" applyFont="1" applyFill="1" applyAlignment="1" applyProtection="1">
      <alignment horizontal="left" vertical="center"/>
    </xf>
    <xf numFmtId="4" fontId="13" fillId="2" borderId="16" xfId="0" applyNumberFormat="1" applyFont="1" applyFill="1" applyBorder="1" applyAlignment="1" applyProtection="1">
      <alignment horizontal="center" vertical="center"/>
    </xf>
    <xf numFmtId="4" fontId="13" fillId="2" borderId="18" xfId="0" applyNumberFormat="1" applyFont="1" applyFill="1" applyBorder="1" applyAlignment="1" applyProtection="1">
      <alignment horizontal="right" vertical="center"/>
    </xf>
    <xf numFmtId="4" fontId="20" fillId="3" borderId="104" xfId="0" applyNumberFormat="1" applyFont="1" applyFill="1" applyBorder="1" applyAlignment="1" applyProtection="1">
      <alignment horizontal="right" vertical="center"/>
    </xf>
    <xf numFmtId="4" fontId="61" fillId="2" borderId="104" xfId="0" applyNumberFormat="1" applyFont="1" applyFill="1" applyBorder="1" applyAlignment="1" applyProtection="1">
      <alignment horizontal="right" vertical="center"/>
    </xf>
    <xf numFmtId="4" fontId="59" fillId="2" borderId="0" xfId="0" applyNumberFormat="1" applyFont="1" applyFill="1" applyAlignment="1" applyProtection="1">
      <alignment horizontal="left"/>
    </xf>
    <xf numFmtId="4" fontId="13" fillId="2" borderId="69" xfId="0" applyNumberFormat="1" applyFont="1" applyFill="1" applyBorder="1" applyAlignment="1" applyProtection="1">
      <alignment horizontal="center" vertical="center"/>
    </xf>
    <xf numFmtId="4" fontId="13" fillId="2" borderId="71" xfId="0" applyNumberFormat="1" applyFont="1" applyFill="1" applyBorder="1" applyAlignment="1" applyProtection="1">
      <alignment horizontal="left" vertical="center"/>
    </xf>
    <xf numFmtId="4" fontId="13" fillId="2" borderId="71" xfId="0" applyNumberFormat="1" applyFont="1" applyFill="1" applyBorder="1" applyAlignment="1" applyProtection="1">
      <alignment horizontal="right" vertical="center"/>
    </xf>
    <xf numFmtId="4" fontId="62" fillId="2" borderId="104" xfId="0" applyNumberFormat="1" applyFont="1" applyFill="1" applyBorder="1" applyAlignment="1" applyProtection="1">
      <alignment horizontal="right" vertical="center"/>
    </xf>
    <xf numFmtId="4" fontId="62" fillId="12" borderId="104" xfId="0" applyNumberFormat="1" applyFont="1" applyFill="1" applyBorder="1" applyAlignment="1" applyProtection="1">
      <alignment horizontal="right" vertical="center"/>
    </xf>
    <xf numFmtId="4" fontId="19" fillId="12" borderId="104" xfId="0" applyNumberFormat="1" applyFont="1" applyFill="1" applyBorder="1" applyAlignment="1" applyProtection="1">
      <alignment horizontal="right" vertical="center"/>
    </xf>
    <xf numFmtId="4" fontId="18" fillId="2" borderId="0" xfId="0" applyNumberFormat="1" applyFont="1" applyFill="1" applyAlignment="1" applyProtection="1">
      <alignment horizontal="left"/>
    </xf>
    <xf numFmtId="4" fontId="2" fillId="2" borderId="0" xfId="0" applyNumberFormat="1" applyFont="1" applyFill="1" applyBorder="1" applyAlignment="1" applyProtection="1">
      <alignment vertical="center"/>
    </xf>
    <xf numFmtId="4" fontId="29" fillId="2" borderId="9" xfId="0" applyNumberFormat="1" applyFont="1" applyFill="1" applyBorder="1" applyAlignment="1" applyProtection="1">
      <alignment horizontal="left"/>
    </xf>
    <xf numFmtId="4" fontId="63" fillId="8" borderId="121" xfId="0" applyNumberFormat="1" applyFont="1" applyFill="1" applyBorder="1" applyAlignment="1" applyProtection="1">
      <alignment horizontal="right"/>
    </xf>
    <xf numFmtId="4" fontId="29" fillId="2" borderId="10" xfId="0" applyNumberFormat="1" applyFont="1" applyFill="1" applyBorder="1" applyAlignment="1" applyProtection="1">
      <alignment horizontal="left"/>
    </xf>
    <xf numFmtId="4" fontId="29" fillId="2" borderId="0" xfId="0" applyNumberFormat="1" applyFont="1" applyFill="1" applyAlignment="1" applyProtection="1">
      <alignment horizontal="left"/>
    </xf>
    <xf numFmtId="4" fontId="16" fillId="9" borderId="18" xfId="0" applyNumberFormat="1" applyFont="1" applyFill="1" applyBorder="1" applyAlignment="1" applyProtection="1">
      <alignment horizontal="right" vertical="center"/>
    </xf>
    <xf numFmtId="4" fontId="59" fillId="2" borderId="0" xfId="0" applyNumberFormat="1" applyFont="1" applyFill="1" applyBorder="1" applyAlignment="1" applyProtection="1">
      <alignment horizontal="center" vertical="center"/>
    </xf>
    <xf numFmtId="4" fontId="2" fillId="2" borderId="9" xfId="0" applyNumberFormat="1" applyFont="1" applyFill="1" applyBorder="1" applyAlignment="1" applyProtection="1">
      <alignment horizontal="left" vertical="center"/>
    </xf>
    <xf numFmtId="4" fontId="42" fillId="10" borderId="121" xfId="0" applyNumberFormat="1" applyFont="1" applyFill="1" applyBorder="1" applyAlignment="1" applyProtection="1">
      <alignment horizontal="right" vertical="center"/>
    </xf>
    <xf numFmtId="4" fontId="2" fillId="2" borderId="10" xfId="0" applyNumberFormat="1" applyFont="1" applyFill="1" applyBorder="1" applyAlignment="1" applyProtection="1">
      <alignment horizontal="left" vertical="center"/>
    </xf>
    <xf numFmtId="4" fontId="31" fillId="2" borderId="0" xfId="0" applyNumberFormat="1" applyFont="1" applyFill="1" applyAlignment="1" applyProtection="1">
      <alignment horizontal="right" vertical="center"/>
    </xf>
    <xf numFmtId="4" fontId="2" fillId="2" borderId="0" xfId="0" applyNumberFormat="1" applyFont="1" applyFill="1" applyAlignment="1" applyProtection="1">
      <alignment horizontal="left" vertical="center"/>
    </xf>
    <xf numFmtId="4" fontId="42" fillId="6" borderId="0" xfId="0" applyNumberFormat="1" applyFont="1" applyFill="1" applyBorder="1" applyAlignment="1" applyProtection="1">
      <alignment horizontal="left"/>
    </xf>
    <xf numFmtId="4" fontId="42" fillId="6" borderId="0" xfId="0" applyNumberFormat="1" applyFont="1" applyFill="1" applyBorder="1" applyAlignment="1" applyProtection="1">
      <alignment horizontal="right"/>
    </xf>
    <xf numFmtId="4" fontId="42" fillId="6" borderId="0" xfId="0" applyNumberFormat="1" applyFont="1" applyFill="1" applyBorder="1" applyProtection="1"/>
    <xf numFmtId="4" fontId="17" fillId="3" borderId="18" xfId="0" applyNumberFormat="1" applyFont="1" applyFill="1" applyBorder="1" applyAlignment="1" applyProtection="1">
      <alignment horizontal="right" vertical="center"/>
    </xf>
    <xf numFmtId="4" fontId="17" fillId="3" borderId="15" xfId="0" applyNumberFormat="1" applyFont="1" applyFill="1" applyBorder="1" applyAlignment="1" applyProtection="1">
      <alignment horizontal="center" vertical="center"/>
    </xf>
    <xf numFmtId="4" fontId="16" fillId="2" borderId="69" xfId="0" applyNumberFormat="1" applyFont="1" applyFill="1" applyBorder="1" applyAlignment="1" applyProtection="1">
      <alignment horizontal="center" vertical="center"/>
    </xf>
    <xf numFmtId="4" fontId="16" fillId="2" borderId="71" xfId="0" applyNumberFormat="1" applyFont="1" applyFill="1" applyBorder="1" applyAlignment="1" applyProtection="1">
      <alignment horizontal="left" vertical="center"/>
    </xf>
    <xf numFmtId="4" fontId="16" fillId="2" borderId="71" xfId="0" applyNumberFormat="1" applyFont="1" applyFill="1" applyBorder="1" applyAlignment="1" applyProtection="1">
      <alignment horizontal="right" vertical="center"/>
    </xf>
    <xf numFmtId="4" fontId="31" fillId="2" borderId="0" xfId="0" applyNumberFormat="1" applyFont="1" applyFill="1" applyAlignment="1" applyProtection="1">
      <alignment horizontal="left"/>
    </xf>
    <xf numFmtId="4" fontId="65" fillId="2" borderId="9" xfId="0" applyNumberFormat="1" applyFont="1" applyFill="1" applyBorder="1" applyAlignment="1" applyProtection="1">
      <alignment horizontal="left"/>
    </xf>
    <xf numFmtId="4" fontId="66" fillId="2" borderId="99" xfId="0" applyNumberFormat="1" applyFont="1" applyFill="1" applyBorder="1" applyAlignment="1" applyProtection="1">
      <alignment horizontal="center" vertical="center"/>
    </xf>
    <xf numFmtId="4" fontId="66" fillId="2" borderId="104" xfId="0" applyNumberFormat="1" applyFont="1" applyFill="1" applyBorder="1" applyAlignment="1" applyProtection="1">
      <alignment horizontal="left" vertical="center"/>
    </xf>
    <xf numFmtId="4" fontId="66" fillId="3" borderId="104" xfId="0" applyNumberFormat="1" applyFont="1" applyFill="1" applyBorder="1" applyAlignment="1" applyProtection="1">
      <alignment horizontal="right" vertical="center"/>
    </xf>
    <xf numFmtId="4" fontId="65" fillId="2" borderId="10" xfId="0" applyNumberFormat="1" applyFont="1" applyFill="1" applyBorder="1" applyAlignment="1" applyProtection="1">
      <alignment horizontal="left"/>
    </xf>
    <xf numFmtId="4" fontId="65" fillId="2" borderId="0" xfId="0" applyNumberFormat="1" applyFont="1" applyFill="1" applyAlignment="1" applyProtection="1">
      <alignment horizontal="left"/>
    </xf>
    <xf numFmtId="4" fontId="60" fillId="3" borderId="61" xfId="0" applyNumberFormat="1" applyFont="1" applyFill="1" applyBorder="1" applyAlignment="1" applyProtection="1">
      <alignment horizontal="right" vertical="center"/>
    </xf>
    <xf numFmtId="4" fontId="39" fillId="6" borderId="0" xfId="0" applyNumberFormat="1" applyFont="1" applyFill="1" applyAlignment="1" applyProtection="1">
      <alignment horizontal="left"/>
    </xf>
    <xf numFmtId="4" fontId="42" fillId="8" borderId="121" xfId="0" applyNumberFormat="1" applyFont="1" applyFill="1" applyBorder="1" applyAlignment="1" applyProtection="1">
      <alignment horizontal="right" vertical="center"/>
    </xf>
    <xf numFmtId="4" fontId="16" fillId="3" borderId="122" xfId="0" applyNumberFormat="1" applyFont="1" applyFill="1" applyBorder="1" applyAlignment="1" applyProtection="1">
      <alignment vertical="center"/>
    </xf>
    <xf numFmtId="4" fontId="18" fillId="3" borderId="123" xfId="0" applyNumberFormat="1" applyFont="1" applyFill="1" applyBorder="1" applyAlignment="1" applyProtection="1">
      <alignment horizontal="center" vertical="center"/>
    </xf>
    <xf numFmtId="4" fontId="16" fillId="3" borderId="123" xfId="0" applyNumberFormat="1" applyFont="1" applyFill="1" applyBorder="1" applyAlignment="1" applyProtection="1">
      <alignment horizontal="right" vertical="center"/>
    </xf>
    <xf numFmtId="4" fontId="2" fillId="2" borderId="9" xfId="0" applyNumberFormat="1" applyFont="1" applyFill="1" applyBorder="1" applyAlignment="1" applyProtection="1">
      <alignment vertical="center"/>
    </xf>
    <xf numFmtId="4" fontId="13" fillId="11" borderId="18" xfId="0" applyNumberFormat="1" applyFont="1" applyFill="1" applyBorder="1" applyAlignment="1" applyProtection="1">
      <alignment vertical="center"/>
    </xf>
    <xf numFmtId="4" fontId="13" fillId="11" borderId="18" xfId="0" applyNumberFormat="1" applyFont="1" applyFill="1" applyBorder="1" applyAlignment="1" applyProtection="1">
      <alignment horizontal="right" vertical="center"/>
    </xf>
    <xf numFmtId="4" fontId="2" fillId="2" borderId="10" xfId="0" applyNumberFormat="1" applyFont="1" applyFill="1" applyBorder="1" applyAlignment="1" applyProtection="1">
      <alignment vertical="center"/>
    </xf>
    <xf numFmtId="4" fontId="2" fillId="2" borderId="0" xfId="0" applyNumberFormat="1" applyFont="1" applyFill="1" applyAlignment="1" applyProtection="1">
      <alignment vertical="center"/>
    </xf>
    <xf numFmtId="4" fontId="59" fillId="2" borderId="62" xfId="0" applyNumberFormat="1" applyFont="1" applyFill="1" applyBorder="1" applyAlignment="1" applyProtection="1">
      <alignment horizontal="center" vertical="center"/>
    </xf>
    <xf numFmtId="4" fontId="60" fillId="2" borderId="19" xfId="0" applyNumberFormat="1" applyFont="1" applyFill="1" applyBorder="1" applyAlignment="1" applyProtection="1">
      <alignment horizontal="left" vertical="center"/>
    </xf>
    <xf numFmtId="4" fontId="60" fillId="2" borderId="19" xfId="0" applyNumberFormat="1" applyFont="1" applyFill="1" applyBorder="1" applyAlignment="1" applyProtection="1">
      <alignment horizontal="right" vertical="center"/>
    </xf>
    <xf numFmtId="4" fontId="60" fillId="3" borderId="19" xfId="0" applyNumberFormat="1" applyFont="1" applyFill="1" applyBorder="1" applyAlignment="1" applyProtection="1">
      <alignment horizontal="right" vertical="center"/>
    </xf>
    <xf numFmtId="4" fontId="20" fillId="2" borderId="79" xfId="0" applyNumberFormat="1" applyFont="1" applyFill="1" applyBorder="1" applyAlignment="1" applyProtection="1">
      <alignment vertical="center"/>
    </xf>
    <xf numFmtId="4" fontId="60" fillId="2" borderId="0" xfId="0" applyNumberFormat="1" applyFont="1" applyFill="1" applyBorder="1" applyAlignment="1" applyProtection="1">
      <alignment horizontal="left" vertical="center"/>
    </xf>
    <xf numFmtId="4" fontId="42" fillId="2" borderId="0" xfId="0" applyNumberFormat="1" applyFont="1" applyFill="1" applyBorder="1" applyAlignment="1" applyProtection="1">
      <alignment horizontal="left" vertical="center"/>
    </xf>
    <xf numFmtId="4" fontId="42" fillId="2" borderId="0" xfId="0" applyNumberFormat="1" applyFont="1" applyFill="1" applyBorder="1" applyAlignment="1" applyProtection="1">
      <alignment horizontal="right" vertical="center"/>
    </xf>
    <xf numFmtId="4" fontId="64" fillId="2" borderId="0" xfId="0" applyNumberFormat="1" applyFont="1" applyFill="1" applyBorder="1" applyAlignment="1" applyProtection="1">
      <alignment horizontal="right" vertical="center"/>
    </xf>
    <xf numFmtId="4" fontId="20" fillId="2" borderId="0" xfId="0" applyNumberFormat="1" applyFont="1" applyFill="1" applyBorder="1" applyAlignment="1" applyProtection="1">
      <alignment vertical="center"/>
    </xf>
    <xf numFmtId="4" fontId="16" fillId="11" borderId="18" xfId="0" applyNumberFormat="1" applyFont="1" applyFill="1" applyBorder="1" applyAlignment="1" applyProtection="1">
      <alignment horizontal="right" vertical="center"/>
    </xf>
    <xf numFmtId="4" fontId="68" fillId="2" borderId="77" xfId="0" applyNumberFormat="1" applyFont="1" applyFill="1" applyBorder="1" applyAlignment="1" applyProtection="1">
      <alignment horizontal="left" vertical="center"/>
    </xf>
    <xf numFmtId="4" fontId="60" fillId="3" borderId="100" xfId="0" applyNumberFormat="1" applyFont="1" applyFill="1" applyBorder="1" applyAlignment="1" applyProtection="1">
      <alignment horizontal="right" vertical="center"/>
    </xf>
    <xf numFmtId="4" fontId="68" fillId="2" borderId="101" xfId="0" applyNumberFormat="1" applyFont="1" applyFill="1" applyBorder="1" applyAlignment="1" applyProtection="1">
      <alignment horizontal="left" vertical="center"/>
    </xf>
    <xf numFmtId="4" fontId="68" fillId="2" borderId="104" xfId="0" applyNumberFormat="1" applyFont="1" applyFill="1" applyBorder="1" applyAlignment="1" applyProtection="1">
      <alignment horizontal="right" vertical="center"/>
    </xf>
    <xf numFmtId="4" fontId="19" fillId="2" borderId="101" xfId="0" applyNumberFormat="1" applyFont="1" applyFill="1" applyBorder="1" applyAlignment="1" applyProtection="1">
      <alignment vertical="center"/>
    </xf>
    <xf numFmtId="4" fontId="68" fillId="2" borderId="99" xfId="0" applyNumberFormat="1" applyFont="1" applyFill="1" applyBorder="1" applyAlignment="1" applyProtection="1">
      <alignment horizontal="left" vertical="center"/>
    </xf>
    <xf numFmtId="4" fontId="60" fillId="3" borderId="182" xfId="0" applyNumberFormat="1" applyFont="1" applyFill="1" applyBorder="1" applyAlignment="1" applyProtection="1">
      <alignment horizontal="right" vertical="center"/>
    </xf>
    <xf numFmtId="4" fontId="67" fillId="2" borderId="182" xfId="0" applyNumberFormat="1" applyFont="1" applyFill="1" applyBorder="1" applyAlignment="1" applyProtection="1">
      <alignment horizontal="right" vertical="center"/>
    </xf>
    <xf numFmtId="4" fontId="24" fillId="2" borderId="11" xfId="0" applyNumberFormat="1" applyFont="1" applyFill="1" applyBorder="1" applyAlignment="1" applyProtection="1">
      <alignment horizontal="left"/>
    </xf>
    <xf numFmtId="4" fontId="24" fillId="2" borderId="12" xfId="0" applyNumberFormat="1" applyFont="1" applyFill="1" applyBorder="1" applyAlignment="1" applyProtection="1">
      <alignment horizontal="right"/>
    </xf>
    <xf numFmtId="4" fontId="24" fillId="2" borderId="12" xfId="0" applyNumberFormat="1" applyFont="1" applyFill="1" applyBorder="1" applyAlignment="1" applyProtection="1">
      <alignment horizontal="left"/>
    </xf>
    <xf numFmtId="4" fontId="24" fillId="2" borderId="13" xfId="0" applyNumberFormat="1" applyFont="1" applyFill="1" applyBorder="1" applyAlignment="1" applyProtection="1">
      <alignment horizontal="left"/>
    </xf>
    <xf numFmtId="4" fontId="21" fillId="2" borderId="0" xfId="0" applyNumberFormat="1" applyFont="1" applyFill="1" applyBorder="1" applyAlignment="1" applyProtection="1">
      <alignment horizontal="left"/>
    </xf>
    <xf numFmtId="4" fontId="21" fillId="2" borderId="0" xfId="0" applyNumberFormat="1" applyFont="1" applyFill="1" applyAlignment="1" applyProtection="1">
      <alignment horizontal="left"/>
    </xf>
    <xf numFmtId="4" fontId="27" fillId="2" borderId="0" xfId="0" applyNumberFormat="1" applyFont="1" applyFill="1" applyBorder="1" applyAlignment="1" applyProtection="1">
      <alignment horizontal="left"/>
    </xf>
    <xf numFmtId="4" fontId="13" fillId="2" borderId="0" xfId="0" applyNumberFormat="1" applyFont="1" applyFill="1" applyBorder="1" applyAlignment="1" applyProtection="1">
      <alignment horizontal="right"/>
    </xf>
    <xf numFmtId="4" fontId="25" fillId="2" borderId="0" xfId="0" applyNumberFormat="1" applyFont="1" applyFill="1" applyAlignment="1" applyProtection="1">
      <alignment horizontal="right"/>
    </xf>
    <xf numFmtId="4" fontId="60" fillId="2" borderId="104" xfId="0" applyNumberFormat="1" applyFont="1" applyFill="1" applyBorder="1" applyAlignment="1" applyProtection="1">
      <alignment horizontal="right" vertical="center"/>
      <protection locked="0"/>
    </xf>
    <xf numFmtId="4" fontId="60" fillId="2" borderId="61" xfId="0" applyNumberFormat="1" applyFont="1" applyFill="1" applyBorder="1" applyAlignment="1" applyProtection="1">
      <alignment horizontal="right" vertical="center"/>
      <protection locked="0"/>
    </xf>
    <xf numFmtId="4" fontId="60" fillId="2" borderId="65" xfId="0" applyNumberFormat="1" applyFont="1" applyFill="1" applyBorder="1" applyAlignment="1" applyProtection="1">
      <alignment horizontal="right" vertical="center"/>
      <protection locked="0"/>
    </xf>
    <xf numFmtId="4" fontId="61" fillId="2" borderId="104" xfId="0" applyNumberFormat="1" applyFont="1" applyFill="1" applyBorder="1" applyAlignment="1" applyProtection="1">
      <alignment horizontal="right" vertical="center"/>
      <protection locked="0"/>
    </xf>
    <xf numFmtId="4" fontId="62" fillId="2" borderId="104" xfId="0" applyNumberFormat="1" applyFont="1" applyFill="1" applyBorder="1" applyAlignment="1" applyProtection="1">
      <alignment horizontal="right" vertical="center"/>
      <protection locked="0"/>
    </xf>
    <xf numFmtId="4" fontId="61" fillId="2" borderId="61" xfId="0" applyNumberFormat="1" applyFont="1" applyFill="1" applyBorder="1" applyAlignment="1" applyProtection="1">
      <alignment horizontal="right" vertical="center"/>
      <protection locked="0"/>
    </xf>
    <xf numFmtId="4" fontId="62" fillId="2" borderId="61" xfId="0" applyNumberFormat="1" applyFont="1" applyFill="1" applyBorder="1" applyAlignment="1" applyProtection="1">
      <alignment horizontal="right" vertical="center"/>
      <protection locked="0"/>
    </xf>
    <xf numFmtId="4" fontId="62" fillId="12" borderId="104" xfId="0" applyNumberFormat="1" applyFont="1" applyFill="1" applyBorder="1" applyAlignment="1" applyProtection="1">
      <alignment horizontal="right" vertical="center"/>
      <protection locked="0"/>
    </xf>
    <xf numFmtId="4" fontId="61" fillId="2" borderId="182" xfId="0" applyNumberFormat="1" applyFont="1" applyFill="1" applyBorder="1" applyAlignment="1" applyProtection="1">
      <alignment horizontal="right" vertical="center"/>
      <protection locked="0"/>
    </xf>
    <xf numFmtId="4" fontId="59" fillId="2" borderId="99" xfId="0" applyNumberFormat="1" applyFont="1" applyFill="1" applyBorder="1" applyAlignment="1" applyProtection="1">
      <alignment horizontal="center" vertical="center"/>
      <protection locked="0"/>
    </xf>
    <xf numFmtId="4" fontId="61" fillId="2" borderId="104" xfId="0" applyNumberFormat="1" applyFont="1" applyFill="1" applyBorder="1" applyAlignment="1" applyProtection="1">
      <alignment horizontal="left" vertical="center"/>
      <protection locked="0"/>
    </xf>
    <xf numFmtId="4" fontId="59" fillId="2" borderId="60" xfId="0" applyNumberFormat="1" applyFont="1" applyFill="1" applyBorder="1" applyAlignment="1" applyProtection="1">
      <alignment horizontal="center" vertical="center"/>
      <protection locked="0"/>
    </xf>
    <xf numFmtId="4" fontId="59" fillId="2" borderId="181" xfId="0" applyNumberFormat="1" applyFont="1" applyFill="1" applyBorder="1" applyAlignment="1" applyProtection="1">
      <alignment horizontal="center" vertical="center"/>
      <protection locked="0"/>
    </xf>
    <xf numFmtId="4" fontId="61" fillId="2" borderId="182" xfId="0" applyNumberFormat="1" applyFont="1" applyFill="1" applyBorder="1" applyAlignment="1" applyProtection="1">
      <alignment horizontal="left" vertical="center"/>
      <protection locked="0"/>
    </xf>
    <xf numFmtId="4" fontId="16" fillId="2" borderId="15" xfId="0" applyNumberFormat="1" applyFont="1" applyFill="1" applyBorder="1" applyAlignment="1" applyProtection="1">
      <alignment horizontal="left"/>
      <protection locked="0"/>
    </xf>
    <xf numFmtId="4" fontId="2" fillId="2" borderId="0" xfId="0" applyNumberFormat="1" applyFont="1" applyFill="1" applyAlignment="1" applyProtection="1">
      <alignment horizontal="left"/>
      <protection locked="0"/>
    </xf>
    <xf numFmtId="4" fontId="13" fillId="2" borderId="0" xfId="0" applyNumberFormat="1" applyFont="1" applyFill="1" applyAlignment="1" applyProtection="1">
      <alignment horizontal="left"/>
      <protection locked="0"/>
    </xf>
    <xf numFmtId="4" fontId="24" fillId="2" borderId="0" xfId="0" applyNumberFormat="1" applyFont="1" applyFill="1" applyAlignment="1" applyProtection="1">
      <alignment horizontal="left"/>
      <protection locked="0"/>
    </xf>
    <xf numFmtId="4" fontId="60" fillId="2" borderId="104" xfId="0" applyNumberFormat="1" applyFont="1" applyFill="1" applyBorder="1" applyAlignment="1" applyProtection="1">
      <alignment horizontal="left" vertical="center"/>
      <protection locked="0"/>
    </xf>
    <xf numFmtId="4" fontId="61" fillId="2" borderId="61" xfId="0" applyNumberFormat="1" applyFont="1" applyFill="1" applyBorder="1" applyAlignment="1" applyProtection="1">
      <alignment horizontal="left" vertical="center"/>
      <protection locked="0"/>
    </xf>
    <xf numFmtId="4" fontId="60" fillId="2" borderId="61" xfId="0" applyNumberFormat="1" applyFont="1" applyFill="1" applyBorder="1" applyAlignment="1" applyProtection="1">
      <alignment horizontal="left" vertical="center"/>
      <protection locked="0"/>
    </xf>
    <xf numFmtId="0" fontId="9" fillId="2" borderId="95" xfId="0" applyFont="1" applyFill="1" applyBorder="1" applyAlignment="1">
      <alignment vertical="center"/>
    </xf>
    <xf numFmtId="0" fontId="9" fillId="3" borderId="95" xfId="0" applyFont="1" applyFill="1" applyBorder="1" applyAlignment="1">
      <alignment vertical="center"/>
    </xf>
    <xf numFmtId="0" fontId="18" fillId="0" borderId="9" xfId="0" applyFont="1" applyFill="1" applyBorder="1" applyAlignment="1" applyProtection="1">
      <alignment horizontal="left"/>
      <protection locked="0"/>
    </xf>
    <xf numFmtId="0" fontId="18" fillId="0" borderId="0" xfId="0" applyFont="1" applyFill="1" applyBorder="1" applyAlignment="1" applyProtection="1">
      <alignment horizontal="left"/>
      <protection locked="0"/>
    </xf>
    <xf numFmtId="0" fontId="18" fillId="0" borderId="10" xfId="0" applyFont="1" applyFill="1" applyBorder="1" applyAlignment="1" applyProtection="1">
      <alignment horizontal="left"/>
      <protection locked="0"/>
    </xf>
    <xf numFmtId="0" fontId="13" fillId="3" borderId="46" xfId="0" applyFont="1" applyFill="1" applyBorder="1" applyAlignment="1" applyProtection="1">
      <alignment horizontal="center"/>
    </xf>
    <xf numFmtId="0" fontId="13" fillId="3" borderId="210" xfId="0" applyFont="1" applyFill="1" applyBorder="1" applyAlignment="1" applyProtection="1">
      <alignment horizontal="center"/>
    </xf>
    <xf numFmtId="0" fontId="27" fillId="3" borderId="42" xfId="0" applyFont="1" applyFill="1" applyBorder="1" applyAlignment="1" applyProtection="1">
      <alignment horizontal="center"/>
    </xf>
    <xf numFmtId="0" fontId="13" fillId="3" borderId="42" xfId="0" applyFont="1" applyFill="1" applyBorder="1" applyAlignment="1" applyProtection="1">
      <alignment horizontal="center"/>
    </xf>
    <xf numFmtId="0" fontId="13" fillId="3" borderId="60" xfId="0" applyFont="1" applyFill="1" applyBorder="1" applyAlignment="1" applyProtection="1">
      <alignment horizontal="center"/>
    </xf>
    <xf numFmtId="0" fontId="25" fillId="3" borderId="60" xfId="0" applyFont="1" applyFill="1" applyBorder="1" applyAlignment="1" applyProtection="1">
      <alignment horizontal="center"/>
    </xf>
    <xf numFmtId="0" fontId="16" fillId="2" borderId="48" xfId="0" applyFont="1" applyFill="1" applyBorder="1" applyAlignment="1" applyProtection="1">
      <alignment horizontal="center"/>
    </xf>
    <xf numFmtId="0" fontId="16" fillId="2" borderId="0" xfId="0" applyFont="1" applyFill="1" applyBorder="1" applyProtection="1"/>
    <xf numFmtId="0" fontId="24" fillId="2" borderId="42" xfId="0" applyFont="1" applyFill="1" applyBorder="1" applyProtection="1"/>
    <xf numFmtId="0" fontId="18" fillId="2" borderId="0" xfId="0" applyFont="1" applyFill="1" applyProtection="1"/>
    <xf numFmtId="0" fontId="16" fillId="2" borderId="34" xfId="0" applyFont="1" applyFill="1" applyBorder="1" applyAlignment="1" applyProtection="1">
      <alignment horizontal="center"/>
    </xf>
    <xf numFmtId="0" fontId="16" fillId="2" borderId="21" xfId="0" applyFont="1" applyFill="1" applyBorder="1" applyProtection="1"/>
    <xf numFmtId="4" fontId="16" fillId="2" borderId="43" xfId="0" applyNumberFormat="1" applyFont="1" applyFill="1" applyBorder="1" applyProtection="1"/>
    <xf numFmtId="0" fontId="13" fillId="2" borderId="34" xfId="0" applyFont="1" applyFill="1" applyBorder="1" applyAlignment="1" applyProtection="1">
      <alignment horizontal="center"/>
    </xf>
    <xf numFmtId="0" fontId="13" fillId="2" borderId="21" xfId="0" applyFont="1" applyFill="1" applyBorder="1" applyProtection="1"/>
    <xf numFmtId="4" fontId="13" fillId="2" borderId="43" xfId="0" applyNumberFormat="1" applyFont="1" applyFill="1" applyBorder="1" applyProtection="1"/>
    <xf numFmtId="0" fontId="10" fillId="2" borderId="51" xfId="0" applyFont="1" applyFill="1" applyBorder="1" applyAlignment="1" applyProtection="1">
      <alignment horizontal="center"/>
    </xf>
    <xf numFmtId="0" fontId="10" fillId="2" borderId="22" xfId="0" applyFont="1" applyFill="1" applyBorder="1" applyProtection="1"/>
    <xf numFmtId="4" fontId="10" fillId="2" borderId="44" xfId="0" applyNumberFormat="1" applyFont="1" applyFill="1" applyBorder="1" applyProtection="1"/>
    <xf numFmtId="0" fontId="10" fillId="2" borderId="53" xfId="0" applyFont="1" applyFill="1" applyBorder="1" applyAlignment="1" applyProtection="1">
      <alignment horizontal="center"/>
    </xf>
    <xf numFmtId="0" fontId="10" fillId="2" borderId="23" xfId="0" applyFont="1" applyFill="1" applyBorder="1" applyProtection="1"/>
    <xf numFmtId="4" fontId="10" fillId="2" borderId="45" xfId="0" applyNumberFormat="1" applyFont="1" applyFill="1" applyBorder="1" applyProtection="1"/>
    <xf numFmtId="0" fontId="13" fillId="2" borderId="48" xfId="0" applyFont="1" applyFill="1" applyBorder="1" applyAlignment="1" applyProtection="1">
      <alignment horizontal="center"/>
    </xf>
    <xf numFmtId="4" fontId="13" fillId="2" borderId="0" xfId="0" applyNumberFormat="1" applyFont="1" applyFill="1" applyBorder="1" applyProtection="1"/>
    <xf numFmtId="4" fontId="13" fillId="2" borderId="124" xfId="0" applyNumberFormat="1" applyFont="1" applyFill="1" applyBorder="1" applyProtection="1"/>
    <xf numFmtId="0" fontId="27" fillId="2" borderId="55" xfId="0" applyFont="1" applyFill="1" applyBorder="1" applyAlignment="1" applyProtection="1">
      <alignment horizontal="left"/>
    </xf>
    <xf numFmtId="0" fontId="27" fillId="2" borderId="27" xfId="0" applyFont="1" applyFill="1" applyBorder="1" applyProtection="1"/>
    <xf numFmtId="4" fontId="27" fillId="2" borderId="27" xfId="0" applyNumberFormat="1" applyFont="1" applyFill="1" applyBorder="1" applyProtection="1"/>
    <xf numFmtId="4" fontId="27" fillId="2" borderId="125" xfId="0" applyNumberFormat="1" applyFont="1" applyFill="1" applyBorder="1" applyProtection="1"/>
    <xf numFmtId="0" fontId="44" fillId="2" borderId="0" xfId="0" applyFont="1" applyFill="1" applyBorder="1" applyAlignment="1" applyProtection="1">
      <alignment horizontal="right"/>
    </xf>
    <xf numFmtId="0" fontId="2" fillId="2" borderId="36" xfId="0" applyFont="1" applyFill="1" applyBorder="1" applyAlignment="1" applyProtection="1">
      <alignment vertical="center"/>
      <protection locked="0"/>
    </xf>
    <xf numFmtId="0" fontId="2" fillId="2" borderId="37" xfId="0" applyFont="1" applyFill="1" applyBorder="1" applyAlignment="1" applyProtection="1">
      <alignment vertical="center"/>
      <protection locked="0"/>
    </xf>
    <xf numFmtId="4" fontId="2" fillId="2" borderId="68" xfId="0" applyNumberFormat="1" applyFont="1" applyFill="1" applyBorder="1" applyAlignment="1" applyProtection="1">
      <alignment horizontal="left" vertical="center"/>
      <protection locked="0"/>
    </xf>
    <xf numFmtId="0" fontId="2" fillId="2" borderId="66" xfId="0" applyFont="1" applyFill="1" applyBorder="1" applyAlignment="1" applyProtection="1">
      <alignment vertical="center"/>
      <protection locked="0"/>
    </xf>
    <xf numFmtId="4" fontId="2" fillId="2" borderId="63" xfId="0" applyNumberFormat="1" applyFont="1" applyFill="1" applyBorder="1" applyAlignment="1" applyProtection="1">
      <alignment vertical="center"/>
      <protection locked="0"/>
    </xf>
    <xf numFmtId="4" fontId="2" fillId="2" borderId="99" xfId="0" applyNumberFormat="1" applyFont="1" applyFill="1" applyBorder="1" applyAlignment="1" applyProtection="1">
      <alignment vertical="center"/>
      <protection locked="0"/>
    </xf>
    <xf numFmtId="0" fontId="2" fillId="2" borderId="101" xfId="0" applyFont="1" applyFill="1" applyBorder="1" applyAlignment="1" applyProtection="1">
      <alignment horizontal="left" vertical="center"/>
      <protection locked="0"/>
    </xf>
    <xf numFmtId="0" fontId="2" fillId="2" borderId="101" xfId="0" applyFont="1" applyFill="1" applyBorder="1" applyAlignment="1" applyProtection="1">
      <alignment horizontal="center" vertical="center"/>
      <protection locked="0"/>
    </xf>
    <xf numFmtId="14" fontId="2" fillId="2" borderId="101" xfId="0" applyNumberFormat="1" applyFont="1" applyFill="1" applyBorder="1" applyAlignment="1" applyProtection="1">
      <alignment horizontal="center" vertical="center"/>
      <protection locked="0"/>
    </xf>
    <xf numFmtId="4" fontId="59" fillId="13" borderId="99" xfId="0" applyNumberFormat="1" applyFont="1" applyFill="1" applyBorder="1" applyAlignment="1" applyProtection="1">
      <alignment horizontal="center" vertical="center"/>
    </xf>
    <xf numFmtId="4" fontId="60" fillId="13" borderId="104" xfId="0" applyNumberFormat="1" applyFont="1" applyFill="1" applyBorder="1" applyAlignment="1" applyProtection="1">
      <alignment horizontal="left" vertical="center"/>
    </xf>
    <xf numFmtId="4" fontId="60" fillId="13" borderId="104" xfId="0" applyNumberFormat="1" applyFont="1" applyFill="1" applyBorder="1" applyAlignment="1" applyProtection="1">
      <alignment horizontal="right" vertical="center"/>
    </xf>
    <xf numFmtId="4" fontId="54" fillId="13" borderId="15" xfId="0" applyNumberFormat="1" applyFont="1" applyFill="1" applyBorder="1" applyAlignment="1" applyProtection="1">
      <alignment horizontal="left"/>
      <protection locked="0"/>
    </xf>
    <xf numFmtId="4" fontId="24" fillId="0" borderId="9" xfId="0" applyNumberFormat="1" applyFont="1" applyFill="1" applyBorder="1" applyAlignment="1" applyProtection="1">
      <alignment horizontal="left" vertical="center"/>
      <protection locked="0"/>
    </xf>
    <xf numFmtId="4" fontId="24" fillId="0" borderId="0" xfId="0" applyNumberFormat="1" applyFont="1" applyFill="1" applyBorder="1" applyAlignment="1" applyProtection="1">
      <alignment horizontal="left" vertical="center"/>
      <protection locked="0"/>
    </xf>
    <xf numFmtId="0" fontId="13" fillId="3" borderId="210" xfId="0" applyFont="1" applyFill="1" applyBorder="1" applyAlignment="1" applyProtection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16" fillId="3" borderId="122" xfId="0" applyFont="1" applyFill="1" applyBorder="1" applyAlignment="1">
      <alignment vertical="center"/>
    </xf>
    <xf numFmtId="0" fontId="18" fillId="3" borderId="123" xfId="0" applyFont="1" applyFill="1" applyBorder="1" applyAlignment="1">
      <alignment horizontal="center" vertical="center"/>
    </xf>
    <xf numFmtId="4" fontId="16" fillId="3" borderId="220" xfId="0" applyNumberFormat="1" applyFont="1" applyFill="1" applyBorder="1" applyAlignment="1">
      <alignment vertical="center"/>
    </xf>
    <xf numFmtId="4" fontId="2" fillId="2" borderId="66" xfId="0" applyNumberFormat="1" applyFont="1" applyFill="1" applyBorder="1" applyAlignment="1" applyProtection="1">
      <alignment horizontal="left" vertical="center"/>
      <protection locked="0"/>
    </xf>
    <xf numFmtId="4" fontId="9" fillId="2" borderId="66" xfId="0" applyNumberFormat="1" applyFont="1" applyFill="1" applyBorder="1" applyAlignment="1" applyProtection="1">
      <alignment horizontal="left" vertical="center"/>
      <protection locked="0"/>
    </xf>
    <xf numFmtId="4" fontId="9" fillId="2" borderId="68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>
      <alignment horizontal="left" vertical="center"/>
    </xf>
    <xf numFmtId="0" fontId="71" fillId="6" borderId="0" xfId="0" applyFont="1" applyFill="1" applyAlignment="1">
      <alignment vertical="center"/>
    </xf>
    <xf numFmtId="0" fontId="2" fillId="2" borderId="99" xfId="0" applyFont="1" applyFill="1" applyBorder="1" applyAlignment="1" applyProtection="1">
      <alignment vertical="center"/>
      <protection locked="0"/>
    </xf>
    <xf numFmtId="0" fontId="9" fillId="2" borderId="104" xfId="0" applyFont="1" applyFill="1" applyBorder="1" applyAlignment="1" applyProtection="1">
      <alignment vertical="center"/>
      <protection locked="0"/>
    </xf>
    <xf numFmtId="4" fontId="7" fillId="2" borderId="65" xfId="0" applyNumberFormat="1" applyFont="1" applyFill="1" applyBorder="1" applyAlignment="1" applyProtection="1">
      <alignment vertical="center"/>
      <protection locked="0"/>
    </xf>
    <xf numFmtId="4" fontId="2" fillId="2" borderId="66" xfId="0" applyNumberFormat="1" applyFont="1" applyFill="1" applyBorder="1" applyAlignment="1" applyProtection="1">
      <alignment vertical="center"/>
      <protection locked="0"/>
    </xf>
    <xf numFmtId="4" fontId="2" fillId="2" borderId="68" xfId="0" applyNumberFormat="1" applyFont="1" applyFill="1" applyBorder="1" applyAlignment="1" applyProtection="1">
      <alignment vertical="center"/>
      <protection locked="0"/>
    </xf>
    <xf numFmtId="4" fontId="7" fillId="2" borderId="68" xfId="0" applyNumberFormat="1" applyFont="1" applyFill="1" applyBorder="1" applyAlignment="1" applyProtection="1">
      <alignment vertical="center"/>
      <protection locked="0"/>
    </xf>
    <xf numFmtId="4" fontId="7" fillId="2" borderId="71" xfId="0" applyNumberFormat="1" applyFont="1" applyFill="1" applyBorder="1" applyAlignment="1" applyProtection="1">
      <alignment vertical="center"/>
      <protection locked="0"/>
    </xf>
    <xf numFmtId="4" fontId="2" fillId="2" borderId="69" xfId="0" applyNumberFormat="1" applyFont="1" applyFill="1" applyBorder="1" applyAlignment="1" applyProtection="1">
      <alignment vertical="center"/>
      <protection locked="0"/>
    </xf>
    <xf numFmtId="4" fontId="9" fillId="2" borderId="221" xfId="0" applyNumberFormat="1" applyFont="1" applyFill="1" applyBorder="1" applyAlignment="1" applyProtection="1">
      <alignment vertical="center"/>
      <protection locked="0"/>
    </xf>
    <xf numFmtId="4" fontId="9" fillId="2" borderId="61" xfId="0" applyNumberFormat="1" applyFont="1" applyFill="1" applyBorder="1" applyAlignment="1" applyProtection="1">
      <alignment vertical="center"/>
      <protection locked="0"/>
    </xf>
    <xf numFmtId="4" fontId="13" fillId="2" borderId="61" xfId="0" applyNumberFormat="1" applyFont="1" applyFill="1" applyBorder="1" applyAlignment="1" applyProtection="1">
      <alignment horizontal="center" vertical="center"/>
      <protection locked="0"/>
    </xf>
    <xf numFmtId="4" fontId="9" fillId="2" borderId="61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right"/>
      <protection locked="0"/>
    </xf>
    <xf numFmtId="4" fontId="7" fillId="2" borderId="104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Border="1" applyAlignment="1">
      <alignment horizontal="right" vertical="center"/>
    </xf>
    <xf numFmtId="4" fontId="9" fillId="0" borderId="101" xfId="0" applyNumberFormat="1" applyFont="1" applyFill="1" applyBorder="1" applyAlignment="1" applyProtection="1">
      <alignment vertical="center"/>
    </xf>
    <xf numFmtId="0" fontId="2" fillId="2" borderId="99" xfId="0" applyFont="1" applyFill="1" applyBorder="1" applyAlignment="1">
      <alignment horizontal="left" vertical="center"/>
    </xf>
    <xf numFmtId="4" fontId="9" fillId="0" borderId="101" xfId="0" applyNumberFormat="1" applyFont="1" applyFill="1" applyBorder="1" applyAlignment="1" applyProtection="1">
      <alignment vertical="center"/>
      <protection locked="0"/>
    </xf>
    <xf numFmtId="0" fontId="2" fillId="2" borderId="69" xfId="0" applyFont="1" applyFill="1" applyBorder="1" applyAlignment="1">
      <alignment horizontal="left" vertical="center"/>
    </xf>
    <xf numFmtId="0" fontId="24" fillId="2" borderId="12" xfId="0" applyFont="1" applyFill="1" applyBorder="1" applyAlignment="1" applyProtection="1">
      <alignment horizontal="left"/>
    </xf>
    <xf numFmtId="4" fontId="24" fillId="2" borderId="12" xfId="0" applyNumberFormat="1" applyFont="1" applyFill="1" applyBorder="1" applyAlignment="1" applyProtection="1">
      <alignment horizontal="left"/>
    </xf>
    <xf numFmtId="4" fontId="9" fillId="0" borderId="79" xfId="0" applyNumberFormat="1" applyFont="1" applyFill="1" applyBorder="1" applyAlignment="1" applyProtection="1">
      <alignment vertical="center"/>
    </xf>
    <xf numFmtId="0" fontId="13" fillId="2" borderId="152" xfId="0" applyFont="1" applyFill="1" applyBorder="1" applyAlignment="1" applyProtection="1">
      <alignment vertical="center"/>
    </xf>
    <xf numFmtId="0" fontId="9" fillId="2" borderId="153" xfId="0" applyFont="1" applyFill="1" applyBorder="1" applyAlignment="1" applyProtection="1">
      <alignment vertical="center"/>
    </xf>
    <xf numFmtId="4" fontId="13" fillId="2" borderId="154" xfId="0" applyNumberFormat="1" applyFont="1" applyFill="1" applyBorder="1" applyAlignment="1" applyProtection="1">
      <alignment horizontal="right" vertical="center"/>
    </xf>
    <xf numFmtId="4" fontId="9" fillId="2" borderId="152" xfId="0" applyNumberFormat="1" applyFont="1" applyFill="1" applyBorder="1" applyAlignment="1" applyProtection="1">
      <alignment horizontal="left" vertical="center"/>
    </xf>
    <xf numFmtId="4" fontId="9" fillId="2" borderId="155" xfId="0" applyNumberFormat="1" applyFont="1" applyFill="1" applyBorder="1" applyAlignment="1" applyProtection="1">
      <alignment horizontal="left" vertical="center"/>
    </xf>
    <xf numFmtId="4" fontId="9" fillId="2" borderId="153" xfId="0" applyNumberFormat="1" applyFont="1" applyFill="1" applyBorder="1" applyAlignment="1" applyProtection="1">
      <alignment horizontal="left" vertical="center"/>
    </xf>
    <xf numFmtId="4" fontId="13" fillId="2" borderId="78" xfId="0" applyNumberFormat="1" applyFont="1" applyFill="1" applyBorder="1" applyAlignment="1" applyProtection="1">
      <alignment horizontal="right" vertical="center"/>
    </xf>
    <xf numFmtId="4" fontId="9" fillId="2" borderId="66" xfId="0" applyNumberFormat="1" applyFont="1" applyFill="1" applyBorder="1" applyAlignment="1" applyProtection="1">
      <alignment horizontal="left" vertical="center"/>
    </xf>
    <xf numFmtId="4" fontId="9" fillId="2" borderId="67" xfId="0" applyNumberFormat="1" applyFont="1" applyFill="1" applyBorder="1" applyAlignment="1" applyProtection="1">
      <alignment horizontal="left" vertical="center"/>
    </xf>
    <xf numFmtId="4" fontId="9" fillId="2" borderId="68" xfId="0" applyNumberFormat="1" applyFont="1" applyFill="1" applyBorder="1" applyAlignment="1" applyProtection="1">
      <alignment horizontal="left" vertical="center"/>
    </xf>
    <xf numFmtId="3" fontId="35" fillId="2" borderId="0" xfId="0" applyNumberFormat="1" applyFont="1" applyFill="1" applyBorder="1" applyAlignment="1" applyProtection="1">
      <alignment horizontal="center" vertical="center"/>
    </xf>
    <xf numFmtId="0" fontId="38" fillId="2" borderId="0" xfId="0" applyFont="1" applyFill="1" applyBorder="1" applyAlignment="1" applyProtection="1">
      <alignment horizontal="left" vertical="center"/>
    </xf>
    <xf numFmtId="0" fontId="38" fillId="2" borderId="0" xfId="0" quotePrefix="1" applyFont="1" applyFill="1" applyBorder="1" applyAlignment="1" applyProtection="1">
      <alignment horizontal="left" vertical="center"/>
    </xf>
    <xf numFmtId="0" fontId="20" fillId="0" borderId="9" xfId="0" applyFont="1" applyFill="1" applyBorder="1" applyAlignment="1" applyProtection="1">
      <alignment horizontal="left"/>
    </xf>
    <xf numFmtId="0" fontId="38" fillId="0" borderId="0" xfId="0" quotePrefix="1" applyFont="1" applyFill="1" applyBorder="1" applyAlignment="1" applyProtection="1">
      <alignment horizontal="left" vertical="center"/>
    </xf>
    <xf numFmtId="0" fontId="38" fillId="0" borderId="0" xfId="0" applyFont="1" applyFill="1" applyBorder="1" applyAlignment="1" applyProtection="1">
      <alignment horizontal="left" vertical="center"/>
    </xf>
    <xf numFmtId="4" fontId="38" fillId="0" borderId="0" xfId="0" applyNumberFormat="1" applyFont="1" applyFill="1" applyBorder="1" applyAlignment="1" applyProtection="1">
      <alignment horizontal="left" vertical="center"/>
    </xf>
    <xf numFmtId="4" fontId="16" fillId="0" borderId="0" xfId="0" applyNumberFormat="1" applyFont="1" applyFill="1" applyBorder="1" applyAlignment="1" applyProtection="1">
      <alignment horizontal="left" vertical="center"/>
    </xf>
    <xf numFmtId="0" fontId="24" fillId="0" borderId="0" xfId="0" applyFont="1" applyFill="1" applyAlignment="1" applyProtection="1">
      <alignment horizontal="left"/>
    </xf>
    <xf numFmtId="0" fontId="53" fillId="2" borderId="0" xfId="0" applyFont="1" applyFill="1" applyBorder="1" applyAlignment="1" applyProtection="1">
      <alignment horizontal="left"/>
    </xf>
    <xf numFmtId="0" fontId="9" fillId="2" borderId="71" xfId="0" applyFont="1" applyFill="1" applyBorder="1" applyAlignment="1" applyProtection="1">
      <alignment horizontal="left" vertical="center"/>
      <protection locked="0"/>
    </xf>
    <xf numFmtId="4" fontId="13" fillId="2" borderId="15" xfId="0" applyNumberFormat="1" applyFont="1" applyFill="1" applyBorder="1" applyAlignment="1" applyProtection="1"/>
    <xf numFmtId="0" fontId="9" fillId="2" borderId="104" xfId="0" applyFont="1" applyFill="1" applyBorder="1" applyAlignment="1" applyProtection="1">
      <alignment horizontal="left" vertical="center"/>
      <protection locked="0"/>
    </xf>
    <xf numFmtId="0" fontId="24" fillId="2" borderId="12" xfId="0" applyFont="1" applyFill="1" applyBorder="1" applyAlignment="1">
      <alignment horizontal="left"/>
    </xf>
    <xf numFmtId="4" fontId="9" fillId="2" borderId="68" xfId="0" applyNumberFormat="1" applyFont="1" applyFill="1" applyBorder="1" applyAlignment="1" applyProtection="1">
      <alignment horizontal="left" vertical="center"/>
      <protection locked="0"/>
    </xf>
    <xf numFmtId="4" fontId="13" fillId="14" borderId="75" xfId="0" applyNumberFormat="1" applyFont="1" applyFill="1" applyBorder="1" applyAlignment="1">
      <alignment vertical="center"/>
    </xf>
    <xf numFmtId="0" fontId="33" fillId="3" borderId="42" xfId="132" applyFont="1" applyFill="1" applyBorder="1" applyAlignment="1">
      <alignment horizontal="center" wrapText="1"/>
    </xf>
    <xf numFmtId="4" fontId="13" fillId="2" borderId="65" xfId="0" applyNumberFormat="1" applyFont="1" applyFill="1" applyBorder="1" applyAlignment="1" applyProtection="1">
      <alignment vertical="center"/>
      <protection locked="0"/>
    </xf>
    <xf numFmtId="4" fontId="13" fillId="2" borderId="68" xfId="0" applyNumberFormat="1" applyFont="1" applyFill="1" applyBorder="1" applyAlignment="1" applyProtection="1">
      <alignment vertical="center"/>
      <protection locked="0"/>
    </xf>
    <xf numFmtId="4" fontId="13" fillId="2" borderId="71" xfId="0" applyNumberFormat="1" applyFont="1" applyFill="1" applyBorder="1" applyAlignment="1" applyProtection="1">
      <alignment vertical="center"/>
      <protection locked="0"/>
    </xf>
    <xf numFmtId="0" fontId="24" fillId="2" borderId="12" xfId="0" applyFont="1" applyFill="1" applyBorder="1" applyAlignment="1" applyProtection="1">
      <alignment horizontal="left"/>
    </xf>
    <xf numFmtId="4" fontId="9" fillId="2" borderId="68" xfId="0" applyNumberFormat="1" applyFont="1" applyFill="1" applyBorder="1" applyAlignment="1" applyProtection="1">
      <alignment horizontal="left" vertical="center"/>
      <protection locked="0"/>
    </xf>
    <xf numFmtId="4" fontId="9" fillId="2" borderId="71" xfId="0" applyNumberFormat="1" applyFont="1" applyFill="1" applyBorder="1" applyAlignment="1" applyProtection="1">
      <alignment horizontal="left" vertical="center"/>
      <protection locked="0"/>
    </xf>
    <xf numFmtId="4" fontId="24" fillId="2" borderId="12" xfId="0" applyNumberFormat="1" applyFont="1" applyFill="1" applyBorder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10" fillId="2" borderId="9" xfId="0" applyFont="1" applyFill="1" applyBorder="1" applyAlignment="1" applyProtection="1">
      <alignment horizontal="left"/>
    </xf>
    <xf numFmtId="0" fontId="10" fillId="2" borderId="10" xfId="0" applyFont="1" applyFill="1" applyBorder="1" applyAlignment="1" applyProtection="1">
      <alignment horizontal="left"/>
    </xf>
    <xf numFmtId="0" fontId="8" fillId="0" borderId="9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10" xfId="0" applyFont="1" applyFill="1" applyBorder="1" applyAlignment="1" applyProtection="1">
      <alignment horizontal="left"/>
    </xf>
    <xf numFmtId="0" fontId="16" fillId="0" borderId="9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9" fillId="2" borderId="0" xfId="0" applyFont="1" applyFill="1" applyAlignment="1" applyProtection="1">
      <alignment horizontal="left" vertical="center"/>
    </xf>
    <xf numFmtId="0" fontId="20" fillId="2" borderId="10" xfId="0" applyFont="1" applyFill="1" applyBorder="1" applyAlignment="1" applyProtection="1">
      <alignment horizontal="left"/>
    </xf>
    <xf numFmtId="0" fontId="16" fillId="3" borderId="62" xfId="0" applyFont="1" applyFill="1" applyBorder="1" applyAlignment="1" applyProtection="1">
      <alignment horizontal="left" vertical="center"/>
    </xf>
    <xf numFmtId="0" fontId="16" fillId="3" borderId="19" xfId="0" applyFont="1" applyFill="1" applyBorder="1" applyAlignment="1" applyProtection="1">
      <alignment horizontal="left" vertical="center"/>
    </xf>
    <xf numFmtId="0" fontId="34" fillId="3" borderId="42" xfId="132" applyFont="1" applyFill="1" applyBorder="1" applyAlignment="1" applyProtection="1">
      <alignment horizontal="center" wrapText="1"/>
    </xf>
    <xf numFmtId="0" fontId="36" fillId="3" borderId="105" xfId="132" applyFont="1" applyFill="1" applyBorder="1" applyAlignment="1" applyProtection="1">
      <alignment horizontal="center" wrapText="1"/>
    </xf>
    <xf numFmtId="0" fontId="36" fillId="3" borderId="106" xfId="132" applyFont="1" applyFill="1" applyBorder="1" applyAlignment="1" applyProtection="1">
      <alignment horizontal="center" wrapText="1"/>
    </xf>
    <xf numFmtId="0" fontId="36" fillId="3" borderId="107" xfId="132" applyFont="1" applyFill="1" applyBorder="1" applyAlignment="1" applyProtection="1">
      <alignment horizontal="center" wrapText="1"/>
    </xf>
    <xf numFmtId="0" fontId="20" fillId="2" borderId="0" xfId="0" applyFont="1" applyFill="1" applyAlignment="1" applyProtection="1">
      <alignment horizontal="left"/>
    </xf>
    <xf numFmtId="0" fontId="2" fillId="2" borderId="63" xfId="0" applyFont="1" applyFill="1" applyBorder="1" applyAlignment="1" applyProtection="1">
      <alignment horizontal="left" vertical="center"/>
    </xf>
    <xf numFmtId="0" fontId="9" fillId="2" borderId="64" xfId="0" applyFont="1" applyFill="1" applyBorder="1" applyAlignment="1" applyProtection="1">
      <alignment horizontal="left" vertical="center"/>
    </xf>
    <xf numFmtId="0" fontId="2" fillId="2" borderId="66" xfId="0" applyFont="1" applyFill="1" applyBorder="1" applyAlignment="1" applyProtection="1">
      <alignment horizontal="left" vertical="center"/>
    </xf>
    <xf numFmtId="0" fontId="9" fillId="2" borderId="67" xfId="0" applyFont="1" applyFill="1" applyBorder="1" applyAlignment="1" applyProtection="1">
      <alignment horizontal="left" vertical="center"/>
    </xf>
    <xf numFmtId="0" fontId="2" fillId="2" borderId="69" xfId="0" applyFont="1" applyFill="1" applyBorder="1" applyAlignment="1" applyProtection="1">
      <alignment horizontal="left" vertical="center"/>
    </xf>
    <xf numFmtId="0" fontId="9" fillId="2" borderId="70" xfId="0" applyFont="1" applyFill="1" applyBorder="1" applyAlignment="1" applyProtection="1">
      <alignment horizontal="left" vertical="center"/>
    </xf>
    <xf numFmtId="4" fontId="13" fillId="2" borderId="79" xfId="0" applyNumberFormat="1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horizontal="left" vertical="center"/>
    </xf>
    <xf numFmtId="0" fontId="25" fillId="0" borderId="9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25" fillId="0" borderId="10" xfId="0" applyFont="1" applyFill="1" applyBorder="1" applyAlignment="1" applyProtection="1">
      <alignment horizontal="left"/>
    </xf>
    <xf numFmtId="0" fontId="2" fillId="2" borderId="95" xfId="0" applyFont="1" applyFill="1" applyBorder="1" applyAlignment="1">
      <alignment vertical="center"/>
    </xf>
    <xf numFmtId="0" fontId="2" fillId="2" borderId="69" xfId="0" applyFont="1" applyFill="1" applyBorder="1" applyAlignment="1" applyProtection="1">
      <alignment vertical="center"/>
      <protection locked="0"/>
    </xf>
    <xf numFmtId="0" fontId="2" fillId="2" borderId="60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vertical="center"/>
      <protection locked="0"/>
    </xf>
    <xf numFmtId="4" fontId="7" fillId="2" borderId="60" xfId="0" applyNumberFormat="1" applyFont="1" applyFill="1" applyBorder="1" applyAlignment="1" applyProtection="1">
      <alignment vertical="center"/>
      <protection locked="0"/>
    </xf>
    <xf numFmtId="4" fontId="9" fillId="2" borderId="204" xfId="0" applyNumberFormat="1" applyFont="1" applyFill="1" applyBorder="1" applyAlignment="1" applyProtection="1">
      <alignment vertical="center"/>
      <protection locked="0"/>
    </xf>
    <xf numFmtId="4" fontId="9" fillId="2" borderId="60" xfId="0" applyNumberFormat="1" applyFont="1" applyFill="1" applyBorder="1" applyAlignment="1" applyProtection="1">
      <alignment vertical="center"/>
      <protection locked="0"/>
    </xf>
    <xf numFmtId="4" fontId="9" fillId="2" borderId="10" xfId="0" applyNumberFormat="1" applyFont="1" applyFill="1" applyBorder="1" applyAlignment="1" applyProtection="1">
      <alignment vertical="center"/>
      <protection locked="0"/>
    </xf>
    <xf numFmtId="4" fontId="9" fillId="2" borderId="222" xfId="0" applyNumberFormat="1" applyFont="1" applyFill="1" applyBorder="1" applyAlignment="1" applyProtection="1">
      <alignment vertical="center"/>
      <protection locked="0"/>
    </xf>
    <xf numFmtId="4" fontId="2" fillId="2" borderId="0" xfId="0" applyNumberFormat="1" applyFont="1" applyFill="1" applyBorder="1" applyAlignment="1" applyProtection="1">
      <alignment vertical="center"/>
      <protection locked="0"/>
    </xf>
    <xf numFmtId="4" fontId="7" fillId="2" borderId="61" xfId="0" applyNumberFormat="1" applyFont="1" applyFill="1" applyBorder="1" applyAlignment="1" applyProtection="1">
      <alignment vertical="center"/>
      <protection locked="0"/>
    </xf>
    <xf numFmtId="4" fontId="9" fillId="2" borderId="42" xfId="0" applyNumberFormat="1" applyFont="1" applyFill="1" applyBorder="1" applyAlignment="1" applyProtection="1">
      <alignment vertical="center"/>
      <protection locked="0"/>
    </xf>
    <xf numFmtId="0" fontId="2" fillId="2" borderId="93" xfId="0" applyFont="1" applyFill="1" applyBorder="1" applyAlignment="1" applyProtection="1">
      <alignment vertical="center"/>
      <protection locked="0"/>
    </xf>
    <xf numFmtId="0" fontId="9" fillId="2" borderId="98" xfId="0" applyFont="1" applyFill="1" applyBorder="1" applyAlignment="1" applyProtection="1">
      <alignment vertical="center"/>
      <protection locked="0"/>
    </xf>
    <xf numFmtId="4" fontId="2" fillId="2" borderId="93" xfId="0" applyNumberFormat="1" applyFont="1" applyFill="1" applyBorder="1" applyAlignment="1" applyProtection="1">
      <alignment vertical="center"/>
      <protection locked="0"/>
    </xf>
    <xf numFmtId="4" fontId="7" fillId="2" borderId="98" xfId="0" applyNumberFormat="1" applyFont="1" applyFill="1" applyBorder="1" applyAlignment="1" applyProtection="1">
      <alignment vertical="center"/>
      <protection locked="0"/>
    </xf>
    <xf numFmtId="17" fontId="9" fillId="2" borderId="101" xfId="0" applyNumberFormat="1" applyFont="1" applyFill="1" applyBorder="1" applyAlignment="1" applyProtection="1">
      <alignment horizontal="center" vertical="center"/>
      <protection locked="0"/>
    </xf>
    <xf numFmtId="1" fontId="13" fillId="2" borderId="65" xfId="0" applyNumberFormat="1" applyFont="1" applyFill="1" applyBorder="1" applyAlignment="1" applyProtection="1">
      <alignment horizontal="center" vertical="center"/>
      <protection locked="0"/>
    </xf>
    <xf numFmtId="1" fontId="9" fillId="2" borderId="65" xfId="0" applyNumberFormat="1" applyFont="1" applyFill="1" applyBorder="1" applyAlignment="1" applyProtection="1">
      <alignment horizontal="center" vertical="center"/>
      <protection locked="0"/>
    </xf>
    <xf numFmtId="1" fontId="13" fillId="2" borderId="104" xfId="0" applyNumberFormat="1" applyFont="1" applyFill="1" applyBorder="1" applyAlignment="1" applyProtection="1">
      <alignment horizontal="center" vertical="center"/>
      <protection locked="0"/>
    </xf>
    <xf numFmtId="1" fontId="9" fillId="2" borderId="104" xfId="0" applyNumberFormat="1" applyFont="1" applyFill="1" applyBorder="1" applyAlignment="1" applyProtection="1">
      <alignment horizontal="center" vertical="center"/>
      <protection locked="0"/>
    </xf>
    <xf numFmtId="1" fontId="13" fillId="2" borderId="68" xfId="0" applyNumberFormat="1" applyFont="1" applyFill="1" applyBorder="1" applyAlignment="1" applyProtection="1">
      <alignment horizontal="center" vertical="center"/>
      <protection locked="0"/>
    </xf>
    <xf numFmtId="1" fontId="9" fillId="2" borderId="68" xfId="0" applyNumberFormat="1" applyFont="1" applyFill="1" applyBorder="1" applyAlignment="1" applyProtection="1">
      <alignment horizontal="center" vertical="center"/>
      <protection locked="0"/>
    </xf>
    <xf numFmtId="1" fontId="13" fillId="2" borderId="71" xfId="0" applyNumberFormat="1" applyFont="1" applyFill="1" applyBorder="1" applyAlignment="1" applyProtection="1">
      <alignment horizontal="center" vertical="center"/>
      <protection locked="0"/>
    </xf>
    <xf numFmtId="1" fontId="9" fillId="2" borderId="71" xfId="0" applyNumberFormat="1" applyFont="1" applyFill="1" applyBorder="1" applyAlignment="1" applyProtection="1">
      <alignment horizontal="center" vertical="center"/>
      <protection locked="0"/>
    </xf>
    <xf numFmtId="0" fontId="2" fillId="2" borderId="104" xfId="0" applyFont="1" applyFill="1" applyBorder="1" applyAlignment="1" applyProtection="1">
      <alignment horizontal="left" vertical="center"/>
      <protection locked="0"/>
    </xf>
    <xf numFmtId="0" fontId="24" fillId="2" borderId="0" xfId="0" applyFont="1" applyFill="1" applyAlignment="1" applyProtection="1">
      <alignment horizontal="left"/>
      <protection locked="0"/>
    </xf>
    <xf numFmtId="1" fontId="15" fillId="3" borderId="0" xfId="0" applyNumberFormat="1" applyFont="1" applyFill="1" applyBorder="1" applyAlignment="1">
      <alignment horizontal="center" vertical="center"/>
    </xf>
    <xf numFmtId="0" fontId="16" fillId="2" borderId="16" xfId="0" applyFont="1" applyFill="1" applyBorder="1" applyAlignment="1" applyProtection="1">
      <alignment horizontal="center" vertical="center"/>
      <protection locked="0"/>
    </xf>
    <xf numFmtId="0" fontId="16" fillId="2" borderId="17" xfId="0" applyFont="1" applyFill="1" applyBorder="1" applyAlignment="1" applyProtection="1">
      <alignment horizontal="center" vertical="center"/>
      <protection locked="0"/>
    </xf>
    <xf numFmtId="0" fontId="16" fillId="2" borderId="18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left"/>
    </xf>
    <xf numFmtId="0" fontId="13" fillId="4" borderId="0" xfId="0" applyFont="1" applyFill="1" applyBorder="1" applyAlignment="1">
      <alignment horizontal="left" vertical="center"/>
    </xf>
    <xf numFmtId="1" fontId="15" fillId="3" borderId="0" xfId="0" applyNumberFormat="1" applyFont="1" applyFill="1" applyBorder="1" applyAlignment="1" applyProtection="1">
      <alignment horizontal="center" vertical="center"/>
    </xf>
    <xf numFmtId="0" fontId="24" fillId="2" borderId="12" xfId="0" applyFont="1" applyFill="1" applyBorder="1" applyAlignment="1" applyProtection="1">
      <alignment horizontal="left"/>
    </xf>
    <xf numFmtId="0" fontId="13" fillId="4" borderId="0" xfId="0" applyFont="1" applyFill="1" applyBorder="1" applyAlignment="1" applyProtection="1">
      <alignment horizontal="left" vertical="center" wrapText="1"/>
    </xf>
    <xf numFmtId="0" fontId="24" fillId="2" borderId="1" xfId="0" applyFont="1" applyFill="1" applyBorder="1" applyAlignment="1" applyProtection="1">
      <alignment horizontal="left" wrapText="1"/>
    </xf>
    <xf numFmtId="0" fontId="24" fillId="2" borderId="4" xfId="0" applyFont="1" applyFill="1" applyBorder="1" applyAlignment="1" applyProtection="1">
      <alignment horizontal="left"/>
      <protection locked="0"/>
    </xf>
    <xf numFmtId="0" fontId="24" fillId="2" borderId="1" xfId="0" applyFont="1" applyFill="1" applyBorder="1" applyAlignment="1" applyProtection="1">
      <alignment horizontal="right"/>
    </xf>
    <xf numFmtId="0" fontId="21" fillId="6" borderId="1" xfId="0" applyFont="1" applyFill="1" applyBorder="1" applyAlignment="1" applyProtection="1">
      <alignment horizontal="right"/>
    </xf>
    <xf numFmtId="0" fontId="24" fillId="2" borderId="12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 vertical="center" wrapText="1"/>
    </xf>
    <xf numFmtId="4" fontId="25" fillId="3" borderId="57" xfId="0" applyNumberFormat="1" applyFont="1" applyFill="1" applyBorder="1" applyAlignment="1" applyProtection="1">
      <alignment horizontal="center" vertical="center"/>
    </xf>
    <xf numFmtId="4" fontId="25" fillId="3" borderId="58" xfId="0" applyNumberFormat="1" applyFont="1" applyFill="1" applyBorder="1" applyAlignment="1" applyProtection="1">
      <alignment horizontal="center" vertical="center"/>
    </xf>
    <xf numFmtId="4" fontId="25" fillId="3" borderId="59" xfId="0" applyNumberFormat="1" applyFont="1" applyFill="1" applyBorder="1" applyAlignment="1" applyProtection="1">
      <alignment horizontal="center" vertical="center"/>
    </xf>
    <xf numFmtId="4" fontId="25" fillId="3" borderId="62" xfId="0" applyNumberFormat="1" applyFont="1" applyFill="1" applyBorder="1" applyAlignment="1" applyProtection="1">
      <alignment horizontal="center" vertical="center"/>
    </xf>
    <xf numFmtId="4" fontId="25" fillId="3" borderId="20" xfId="0" applyNumberFormat="1" applyFont="1" applyFill="1" applyBorder="1" applyAlignment="1" applyProtection="1">
      <alignment horizontal="center" vertical="center"/>
    </xf>
    <xf numFmtId="4" fontId="25" fillId="3" borderId="19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4" fontId="25" fillId="3" borderId="76" xfId="0" applyNumberFormat="1" applyFont="1" applyFill="1" applyBorder="1" applyAlignment="1" applyProtection="1">
      <alignment horizontal="center" vertical="center"/>
    </xf>
    <xf numFmtId="4" fontId="25" fillId="3" borderId="80" xfId="0" applyNumberFormat="1" applyFont="1" applyFill="1" applyBorder="1" applyAlignment="1" applyProtection="1">
      <alignment horizontal="center" vertical="center"/>
    </xf>
    <xf numFmtId="0" fontId="16" fillId="3" borderId="57" xfId="0" applyFont="1" applyFill="1" applyBorder="1" applyAlignment="1" applyProtection="1">
      <alignment vertical="center" wrapText="1"/>
    </xf>
    <xf numFmtId="0" fontId="0" fillId="0" borderId="58" xfId="0" applyBorder="1" applyAlignment="1" applyProtection="1">
      <alignment vertical="center" wrapText="1"/>
    </xf>
    <xf numFmtId="0" fontId="0" fillId="0" borderId="59" xfId="0" applyBorder="1" applyAlignment="1" applyProtection="1">
      <alignment vertical="center" wrapText="1"/>
    </xf>
    <xf numFmtId="0" fontId="0" fillId="0" borderId="62" xfId="0" applyBorder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</xf>
    <xf numFmtId="0" fontId="0" fillId="0" borderId="19" xfId="0" applyBorder="1" applyAlignment="1" applyProtection="1">
      <alignment vertical="center" wrapText="1"/>
    </xf>
    <xf numFmtId="0" fontId="6" fillId="2" borderId="63" xfId="0" applyFont="1" applyFill="1" applyBorder="1" applyAlignment="1" applyProtection="1">
      <alignment horizontal="left" vertical="center"/>
    </xf>
    <xf numFmtId="0" fontId="6" fillId="2" borderId="64" xfId="0" applyFont="1" applyFill="1" applyBorder="1" applyAlignment="1" applyProtection="1">
      <alignment horizontal="left" vertical="center"/>
    </xf>
    <xf numFmtId="0" fontId="6" fillId="2" borderId="65" xfId="0" applyFont="1" applyFill="1" applyBorder="1" applyAlignment="1" applyProtection="1">
      <alignment horizontal="left" vertical="center"/>
    </xf>
    <xf numFmtId="0" fontId="6" fillId="2" borderId="66" xfId="0" applyFont="1" applyFill="1" applyBorder="1" applyAlignment="1" applyProtection="1">
      <alignment horizontal="left" vertical="center"/>
    </xf>
    <xf numFmtId="0" fontId="6" fillId="2" borderId="67" xfId="0" applyFont="1" applyFill="1" applyBorder="1" applyAlignment="1" applyProtection="1">
      <alignment horizontal="left" vertical="center"/>
    </xf>
    <xf numFmtId="0" fontId="6" fillId="2" borderId="68" xfId="0" applyFont="1" applyFill="1" applyBorder="1" applyAlignment="1" applyProtection="1">
      <alignment horizontal="left" vertical="center"/>
    </xf>
    <xf numFmtId="0" fontId="13" fillId="3" borderId="60" xfId="0" applyFont="1" applyFill="1" applyBorder="1" applyAlignment="1" applyProtection="1">
      <alignment horizontal="left"/>
    </xf>
    <xf numFmtId="0" fontId="13" fillId="3" borderId="0" xfId="0" applyFont="1" applyFill="1" applyBorder="1" applyAlignment="1" applyProtection="1">
      <alignment horizontal="left"/>
    </xf>
    <xf numFmtId="0" fontId="13" fillId="3" borderId="124" xfId="0" applyFont="1" applyFill="1" applyBorder="1" applyAlignment="1" applyProtection="1">
      <alignment horizontal="left"/>
    </xf>
    <xf numFmtId="0" fontId="13" fillId="3" borderId="210" xfId="0" applyFont="1" applyFill="1" applyBorder="1" applyAlignment="1" applyProtection="1">
      <alignment horizontal="center"/>
    </xf>
    <xf numFmtId="0" fontId="13" fillId="3" borderId="32" xfId="0" applyFont="1" applyFill="1" applyBorder="1" applyAlignment="1" applyProtection="1">
      <alignment horizontal="center"/>
    </xf>
    <xf numFmtId="0" fontId="13" fillId="3" borderId="33" xfId="0" applyFont="1" applyFill="1" applyBorder="1" applyAlignment="1" applyProtection="1">
      <alignment horizontal="center"/>
    </xf>
    <xf numFmtId="0" fontId="24" fillId="2" borderId="60" xfId="0" applyFont="1" applyFill="1" applyBorder="1" applyAlignment="1" applyProtection="1">
      <alignment horizontal="left"/>
      <protection locked="0"/>
    </xf>
    <xf numFmtId="0" fontId="24" fillId="2" borderId="0" xfId="0" applyFont="1" applyFill="1" applyBorder="1" applyAlignment="1" applyProtection="1">
      <alignment horizontal="left"/>
      <protection locked="0"/>
    </xf>
    <xf numFmtId="0" fontId="24" fillId="2" borderId="124" xfId="0" applyFont="1" applyFill="1" applyBorder="1" applyAlignment="1" applyProtection="1">
      <alignment horizontal="left"/>
      <protection locked="0"/>
    </xf>
    <xf numFmtId="0" fontId="24" fillId="2" borderId="134" xfId="0" applyFont="1" applyFill="1" applyBorder="1" applyAlignment="1" applyProtection="1">
      <alignment horizontal="left"/>
      <protection locked="0"/>
    </xf>
    <xf numFmtId="0" fontId="24" fillId="2" borderId="21" xfId="0" applyFont="1" applyFill="1" applyBorder="1" applyAlignment="1" applyProtection="1">
      <alignment horizontal="left"/>
      <protection locked="0"/>
    </xf>
    <xf numFmtId="0" fontId="24" fillId="2" borderId="35" xfId="0" applyFont="1" applyFill="1" applyBorder="1" applyAlignment="1" applyProtection="1">
      <alignment horizontal="left"/>
      <protection locked="0"/>
    </xf>
    <xf numFmtId="4" fontId="13" fillId="2" borderId="212" xfId="0" applyNumberFormat="1" applyFont="1" applyFill="1" applyBorder="1" applyAlignment="1" applyProtection="1">
      <alignment horizontal="left"/>
      <protection locked="0"/>
    </xf>
    <xf numFmtId="4" fontId="13" fillId="2" borderId="213" xfId="0" applyNumberFormat="1" applyFont="1" applyFill="1" applyBorder="1" applyAlignment="1" applyProtection="1">
      <alignment horizontal="left"/>
      <protection locked="0"/>
    </xf>
    <xf numFmtId="4" fontId="13" fillId="2" borderId="214" xfId="0" applyNumberFormat="1" applyFont="1" applyFill="1" applyBorder="1" applyAlignment="1" applyProtection="1">
      <alignment horizontal="left"/>
      <protection locked="0"/>
    </xf>
    <xf numFmtId="4" fontId="10" fillId="2" borderId="136" xfId="0" applyNumberFormat="1" applyFont="1" applyFill="1" applyBorder="1" applyAlignment="1" applyProtection="1">
      <alignment horizontal="left"/>
      <protection locked="0"/>
    </xf>
    <xf numFmtId="4" fontId="10" fillId="2" borderId="22" xfId="0" applyNumberFormat="1" applyFont="1" applyFill="1" applyBorder="1" applyAlignment="1" applyProtection="1">
      <alignment horizontal="left"/>
      <protection locked="0"/>
    </xf>
    <xf numFmtId="4" fontId="10" fillId="2" borderId="215" xfId="0" applyNumberFormat="1" applyFont="1" applyFill="1" applyBorder="1" applyAlignment="1" applyProtection="1">
      <alignment horizontal="left"/>
      <protection locked="0"/>
    </xf>
    <xf numFmtId="4" fontId="10" fillId="2" borderId="138" xfId="0" applyNumberFormat="1" applyFont="1" applyFill="1" applyBorder="1" applyAlignment="1" applyProtection="1">
      <alignment horizontal="left"/>
      <protection locked="0"/>
    </xf>
    <xf numFmtId="4" fontId="10" fillId="2" borderId="23" xfId="0" applyNumberFormat="1" applyFont="1" applyFill="1" applyBorder="1" applyAlignment="1" applyProtection="1">
      <alignment horizontal="left"/>
      <protection locked="0"/>
    </xf>
    <xf numFmtId="4" fontId="10" fillId="2" borderId="216" xfId="0" applyNumberFormat="1" applyFont="1" applyFill="1" applyBorder="1" applyAlignment="1" applyProtection="1">
      <alignment horizontal="left"/>
      <protection locked="0"/>
    </xf>
    <xf numFmtId="4" fontId="13" fillId="2" borderId="217" xfId="0" applyNumberFormat="1" applyFont="1" applyFill="1" applyBorder="1" applyAlignment="1" applyProtection="1">
      <alignment horizontal="left"/>
      <protection locked="0"/>
    </xf>
    <xf numFmtId="4" fontId="13" fillId="2" borderId="218" xfId="0" applyNumberFormat="1" applyFont="1" applyFill="1" applyBorder="1" applyAlignment="1" applyProtection="1">
      <alignment horizontal="left"/>
      <protection locked="0"/>
    </xf>
    <xf numFmtId="4" fontId="13" fillId="2" borderId="219" xfId="0" applyNumberFormat="1" applyFont="1" applyFill="1" applyBorder="1" applyAlignment="1" applyProtection="1">
      <alignment horizontal="left"/>
      <protection locked="0"/>
    </xf>
    <xf numFmtId="0" fontId="17" fillId="3" borderId="31" xfId="0" applyFont="1" applyFill="1" applyBorder="1" applyAlignment="1" applyProtection="1">
      <alignment horizontal="center" vertical="center"/>
    </xf>
    <xf numFmtId="0" fontId="17" fillId="3" borderId="48" xfId="0" applyFont="1" applyFill="1" applyBorder="1" applyAlignment="1" applyProtection="1">
      <alignment horizontal="center" vertical="center"/>
    </xf>
    <xf numFmtId="0" fontId="17" fillId="3" borderId="211" xfId="0" applyFont="1" applyFill="1" applyBorder="1" applyAlignment="1" applyProtection="1">
      <alignment horizontal="left" vertical="center"/>
    </xf>
    <xf numFmtId="0" fontId="17" fillId="3" borderId="61" xfId="0" applyFont="1" applyFill="1" applyBorder="1" applyAlignment="1" applyProtection="1">
      <alignment horizontal="left" vertical="center"/>
    </xf>
    <xf numFmtId="4" fontId="19" fillId="3" borderId="31" xfId="0" applyNumberFormat="1" applyFont="1" applyFill="1" applyBorder="1" applyAlignment="1">
      <alignment horizontal="center" vertical="center"/>
    </xf>
    <xf numFmtId="4" fontId="19" fillId="3" borderId="32" xfId="0" applyNumberFormat="1" applyFont="1" applyFill="1" applyBorder="1" applyAlignment="1">
      <alignment horizontal="center" vertical="center"/>
    </xf>
    <xf numFmtId="4" fontId="19" fillId="3" borderId="33" xfId="0" applyNumberFormat="1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33" fillId="3" borderId="76" xfId="132" applyFont="1" applyFill="1" applyBorder="1" applyAlignment="1">
      <alignment horizontal="center" wrapText="1"/>
    </xf>
    <xf numFmtId="0" fontId="33" fillId="3" borderId="80" xfId="132" applyFont="1" applyFill="1" applyBorder="1" applyAlignment="1">
      <alignment horizontal="center" wrapText="1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2" borderId="74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2" fillId="2" borderId="152" xfId="0" applyFont="1" applyFill="1" applyBorder="1" applyAlignment="1" applyProtection="1">
      <alignment horizontal="left" vertical="center"/>
      <protection locked="0"/>
    </xf>
    <xf numFmtId="0" fontId="9" fillId="2" borderId="153" xfId="0" applyFont="1" applyFill="1" applyBorder="1" applyAlignment="1" applyProtection="1">
      <alignment horizontal="left" vertical="center"/>
      <protection locked="0"/>
    </xf>
    <xf numFmtId="0" fontId="9" fillId="2" borderId="66" xfId="0" applyFont="1" applyFill="1" applyBorder="1" applyAlignment="1" applyProtection="1">
      <alignment horizontal="left" vertical="center"/>
      <protection locked="0"/>
    </xf>
    <xf numFmtId="0" fontId="9" fillId="2" borderId="68" xfId="0" applyFont="1" applyFill="1" applyBorder="1" applyAlignment="1" applyProtection="1">
      <alignment horizontal="left" vertical="center"/>
      <protection locked="0"/>
    </xf>
    <xf numFmtId="0" fontId="2" fillId="2" borderId="153" xfId="0" applyFont="1" applyFill="1" applyBorder="1" applyAlignment="1" applyProtection="1">
      <alignment horizontal="left" vertical="center"/>
      <protection locked="0"/>
    </xf>
    <xf numFmtId="0" fontId="2" fillId="2" borderId="66" xfId="0" applyFont="1" applyFill="1" applyBorder="1" applyAlignment="1" applyProtection="1">
      <alignment horizontal="left" vertical="center"/>
      <protection locked="0"/>
    </xf>
    <xf numFmtId="0" fontId="2" fillId="2" borderId="68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>
      <alignment horizontal="center" vertical="center"/>
    </xf>
    <xf numFmtId="0" fontId="9" fillId="2" borderId="69" xfId="0" applyFont="1" applyFill="1" applyBorder="1" applyAlignment="1" applyProtection="1">
      <alignment horizontal="left" vertical="center"/>
      <protection locked="0"/>
    </xf>
    <xf numFmtId="0" fontId="9" fillId="2" borderId="71" xfId="0" applyFont="1" applyFill="1" applyBorder="1" applyAlignment="1" applyProtection="1">
      <alignment horizontal="left" vertical="center"/>
      <protection locked="0"/>
    </xf>
    <xf numFmtId="0" fontId="13" fillId="2" borderId="73" xfId="0" applyFont="1" applyFill="1" applyBorder="1" applyAlignment="1">
      <alignment horizontal="left" vertical="center"/>
    </xf>
    <xf numFmtId="0" fontId="13" fillId="2" borderId="74" xfId="0" applyFont="1" applyFill="1" applyBorder="1" applyAlignment="1">
      <alignment horizontal="left" vertical="center"/>
    </xf>
    <xf numFmtId="0" fontId="13" fillId="2" borderId="75" xfId="0" applyFont="1" applyFill="1" applyBorder="1" applyAlignment="1">
      <alignment horizontal="left" vertical="center"/>
    </xf>
    <xf numFmtId="4" fontId="7" fillId="2" borderId="66" xfId="0" applyNumberFormat="1" applyFont="1" applyFill="1" applyBorder="1" applyAlignment="1" applyProtection="1">
      <alignment horizontal="left" vertical="center"/>
      <protection locked="0"/>
    </xf>
    <xf numFmtId="4" fontId="7" fillId="2" borderId="68" xfId="0" applyNumberFormat="1" applyFont="1" applyFill="1" applyBorder="1" applyAlignment="1" applyProtection="1">
      <alignment horizontal="left" vertical="center"/>
      <protection locked="0"/>
    </xf>
    <xf numFmtId="4" fontId="7" fillId="2" borderId="69" xfId="0" applyNumberFormat="1" applyFont="1" applyFill="1" applyBorder="1" applyAlignment="1" applyProtection="1">
      <alignment horizontal="left" vertical="center"/>
      <protection locked="0"/>
    </xf>
    <xf numFmtId="4" fontId="7" fillId="2" borderId="71" xfId="0" applyNumberFormat="1" applyFont="1" applyFill="1" applyBorder="1" applyAlignment="1" applyProtection="1">
      <alignment horizontal="left" vertical="center"/>
      <protection locked="0"/>
    </xf>
    <xf numFmtId="0" fontId="34" fillId="3" borderId="16" xfId="132" applyFont="1" applyFill="1" applyBorder="1" applyAlignment="1">
      <alignment horizontal="center" vertical="center" wrapText="1"/>
    </xf>
    <xf numFmtId="0" fontId="34" fillId="3" borderId="18" xfId="132" applyFont="1" applyFill="1" applyBorder="1" applyAlignment="1">
      <alignment horizontal="center" vertical="center" wrapText="1"/>
    </xf>
    <xf numFmtId="0" fontId="13" fillId="3" borderId="62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57" xfId="0" applyFont="1" applyFill="1" applyBorder="1" applyAlignment="1">
      <alignment horizontal="center" vertical="center"/>
    </xf>
    <xf numFmtId="0" fontId="13" fillId="3" borderId="59" xfId="0" applyFont="1" applyFill="1" applyBorder="1" applyAlignment="1">
      <alignment horizontal="center" vertical="center"/>
    </xf>
    <xf numFmtId="4" fontId="2" fillId="2" borderId="63" xfId="0" applyNumberFormat="1" applyFont="1" applyFill="1" applyBorder="1" applyAlignment="1" applyProtection="1">
      <alignment horizontal="left" vertical="center"/>
      <protection locked="0"/>
    </xf>
    <xf numFmtId="4" fontId="7" fillId="2" borderId="65" xfId="0" applyNumberFormat="1" applyFont="1" applyFill="1" applyBorder="1" applyAlignment="1" applyProtection="1">
      <alignment horizontal="left" vertical="center"/>
      <protection locked="0"/>
    </xf>
    <xf numFmtId="0" fontId="34" fillId="3" borderId="62" xfId="132" applyFont="1" applyFill="1" applyBorder="1" applyAlignment="1">
      <alignment horizontal="center" vertical="center" wrapText="1"/>
    </xf>
    <xf numFmtId="0" fontId="34" fillId="3" borderId="19" xfId="132" applyFont="1" applyFill="1" applyBorder="1" applyAlignment="1">
      <alignment horizontal="center" vertical="center" wrapText="1"/>
    </xf>
    <xf numFmtId="0" fontId="34" fillId="3" borderId="57" xfId="132" applyFont="1" applyFill="1" applyBorder="1" applyAlignment="1">
      <alignment horizontal="center" vertical="center" wrapText="1"/>
    </xf>
    <xf numFmtId="0" fontId="34" fillId="3" borderId="59" xfId="132" applyFont="1" applyFill="1" applyBorder="1" applyAlignment="1">
      <alignment horizontal="center" vertical="center" wrapText="1"/>
    </xf>
    <xf numFmtId="4" fontId="7" fillId="2" borderId="66" xfId="0" applyNumberFormat="1" applyFont="1" applyFill="1" applyBorder="1" applyAlignment="1" applyProtection="1">
      <alignment horizontal="center" vertical="center"/>
      <protection locked="0"/>
    </xf>
    <xf numFmtId="4" fontId="7" fillId="2" borderId="68" xfId="0" applyNumberFormat="1" applyFont="1" applyFill="1" applyBorder="1" applyAlignment="1" applyProtection="1">
      <alignment horizontal="center" vertical="center"/>
      <protection locked="0"/>
    </xf>
    <xf numFmtId="0" fontId="34" fillId="3" borderId="20" xfId="132" applyFont="1" applyFill="1" applyBorder="1" applyAlignment="1">
      <alignment horizontal="center" vertical="center" wrapText="1"/>
    </xf>
    <xf numFmtId="0" fontId="34" fillId="3" borderId="206" xfId="132" applyFont="1" applyFill="1" applyBorder="1" applyAlignment="1">
      <alignment horizontal="center" vertical="center" wrapText="1"/>
    </xf>
    <xf numFmtId="0" fontId="34" fillId="3" borderId="17" xfId="132" applyFont="1" applyFill="1" applyBorder="1" applyAlignment="1">
      <alignment horizontal="center" vertical="center" wrapText="1"/>
    </xf>
    <xf numFmtId="0" fontId="34" fillId="3" borderId="192" xfId="132" applyFont="1" applyFill="1" applyBorder="1" applyAlignment="1">
      <alignment horizontal="center" vertical="center" wrapText="1"/>
    </xf>
    <xf numFmtId="0" fontId="13" fillId="2" borderId="16" xfId="0" applyFont="1" applyFill="1" applyBorder="1" applyAlignment="1" applyProtection="1">
      <alignment horizontal="left" vertical="center"/>
    </xf>
    <xf numFmtId="0" fontId="13" fillId="2" borderId="17" xfId="0" applyFont="1" applyFill="1" applyBorder="1" applyAlignment="1" applyProtection="1">
      <alignment horizontal="left" vertical="center"/>
    </xf>
    <xf numFmtId="0" fontId="9" fillId="2" borderId="16" xfId="0" applyFont="1" applyFill="1" applyBorder="1" applyAlignment="1" applyProtection="1">
      <alignment horizontal="left" vertical="center"/>
    </xf>
    <xf numFmtId="0" fontId="9" fillId="2" borderId="17" xfId="0" applyFont="1" applyFill="1" applyBorder="1" applyAlignment="1" applyProtection="1">
      <alignment horizontal="left" vertical="center"/>
    </xf>
    <xf numFmtId="0" fontId="13" fillId="3" borderId="60" xfId="0" applyFont="1" applyFill="1" applyBorder="1" applyAlignment="1">
      <alignment horizontal="center" vertical="center"/>
    </xf>
    <xf numFmtId="0" fontId="13" fillId="3" borderId="61" xfId="0" applyFont="1" applyFill="1" applyBorder="1" applyAlignment="1">
      <alignment horizontal="center" vertical="center"/>
    </xf>
    <xf numFmtId="0" fontId="34" fillId="3" borderId="58" xfId="132" applyFont="1" applyFill="1" applyBorder="1" applyAlignment="1">
      <alignment horizontal="center" vertical="center" wrapText="1"/>
    </xf>
    <xf numFmtId="0" fontId="34" fillId="3" borderId="16" xfId="132" applyFont="1" applyFill="1" applyBorder="1" applyAlignment="1">
      <alignment horizontal="left" vertical="center" wrapText="1"/>
    </xf>
    <xf numFmtId="0" fontId="34" fillId="3" borderId="18" xfId="132" applyFont="1" applyFill="1" applyBorder="1" applyAlignment="1">
      <alignment horizontal="left" vertical="center" wrapText="1"/>
    </xf>
    <xf numFmtId="0" fontId="34" fillId="3" borderId="205" xfId="132" applyFont="1" applyFill="1" applyBorder="1" applyAlignment="1">
      <alignment horizontal="center" vertical="center" wrapText="1"/>
    </xf>
    <xf numFmtId="0" fontId="13" fillId="3" borderId="57" xfId="0" applyFont="1" applyFill="1" applyBorder="1" applyAlignment="1" applyProtection="1">
      <alignment horizontal="center" vertical="center"/>
    </xf>
    <xf numFmtId="0" fontId="13" fillId="3" borderId="59" xfId="0" applyFont="1" applyFill="1" applyBorder="1" applyAlignment="1" applyProtection="1">
      <alignment horizontal="center" vertical="center"/>
    </xf>
    <xf numFmtId="0" fontId="13" fillId="2" borderId="73" xfId="0" applyFont="1" applyFill="1" applyBorder="1" applyAlignment="1" applyProtection="1">
      <alignment horizontal="center" vertical="center"/>
    </xf>
    <xf numFmtId="0" fontId="13" fillId="2" borderId="74" xfId="0" applyFont="1" applyFill="1" applyBorder="1" applyAlignment="1" applyProtection="1">
      <alignment horizontal="center" vertical="center"/>
    </xf>
    <xf numFmtId="0" fontId="13" fillId="2" borderId="75" xfId="0" applyFont="1" applyFill="1" applyBorder="1" applyAlignment="1" applyProtection="1">
      <alignment horizontal="center" vertical="center"/>
    </xf>
    <xf numFmtId="0" fontId="34" fillId="3" borderId="57" xfId="132" applyFont="1" applyFill="1" applyBorder="1" applyAlignment="1">
      <alignment horizontal="center" wrapText="1"/>
    </xf>
    <xf numFmtId="0" fontId="34" fillId="3" borderId="58" xfId="132" applyFont="1" applyFill="1" applyBorder="1" applyAlignment="1">
      <alignment horizontal="center" wrapText="1"/>
    </xf>
    <xf numFmtId="0" fontId="34" fillId="3" borderId="59" xfId="132" applyFont="1" applyFill="1" applyBorder="1" applyAlignment="1">
      <alignment horizontal="center" wrapText="1"/>
    </xf>
    <xf numFmtId="0" fontId="13" fillId="3" borderId="62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34" fillId="3" borderId="16" xfId="132" applyFont="1" applyFill="1" applyBorder="1" applyAlignment="1">
      <alignment horizontal="center" wrapText="1"/>
    </xf>
    <xf numFmtId="0" fontId="34" fillId="3" borderId="17" xfId="132" applyFont="1" applyFill="1" applyBorder="1" applyAlignment="1">
      <alignment horizontal="center" wrapText="1"/>
    </xf>
    <xf numFmtId="0" fontId="34" fillId="3" borderId="18" xfId="132" applyFont="1" applyFill="1" applyBorder="1" applyAlignment="1">
      <alignment horizontal="center" wrapText="1"/>
    </xf>
    <xf numFmtId="0" fontId="13" fillId="2" borderId="73" xfId="0" applyFont="1" applyFill="1" applyBorder="1" applyAlignment="1">
      <alignment horizontal="left"/>
    </xf>
    <xf numFmtId="0" fontId="13" fillId="2" borderId="75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13" fillId="2" borderId="74" xfId="0" applyFont="1" applyFill="1" applyBorder="1" applyAlignment="1">
      <alignment horizontal="left"/>
    </xf>
    <xf numFmtId="0" fontId="13" fillId="2" borderId="73" xfId="0" applyFont="1" applyFill="1" applyBorder="1" applyAlignment="1">
      <alignment horizontal="center" vertical="center"/>
    </xf>
    <xf numFmtId="0" fontId="13" fillId="2" borderId="7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4" fontId="9" fillId="2" borderId="66" xfId="0" applyNumberFormat="1" applyFont="1" applyFill="1" applyBorder="1" applyAlignment="1" applyProtection="1">
      <alignment horizontal="left" vertical="center"/>
      <protection locked="0"/>
    </xf>
    <xf numFmtId="4" fontId="9" fillId="2" borderId="68" xfId="0" applyNumberFormat="1" applyFont="1" applyFill="1" applyBorder="1" applyAlignment="1" applyProtection="1">
      <alignment horizontal="left" vertical="center"/>
      <protection locked="0"/>
    </xf>
    <xf numFmtId="4" fontId="9" fillId="2" borderId="69" xfId="0" applyNumberFormat="1" applyFont="1" applyFill="1" applyBorder="1" applyAlignment="1" applyProtection="1">
      <alignment horizontal="left" vertical="center"/>
      <protection locked="0"/>
    </xf>
    <xf numFmtId="4" fontId="9" fillId="2" borderId="71" xfId="0" applyNumberFormat="1" applyFont="1" applyFill="1" applyBorder="1" applyAlignment="1" applyProtection="1">
      <alignment horizontal="left" vertical="center"/>
      <protection locked="0"/>
    </xf>
    <xf numFmtId="4" fontId="13" fillId="2" borderId="73" xfId="0" applyNumberFormat="1" applyFont="1" applyFill="1" applyBorder="1" applyAlignment="1">
      <alignment horizontal="left"/>
    </xf>
    <xf numFmtId="4" fontId="13" fillId="2" borderId="75" xfId="0" applyNumberFormat="1" applyFont="1" applyFill="1" applyBorder="1" applyAlignment="1">
      <alignment horizontal="left"/>
    </xf>
    <xf numFmtId="4" fontId="9" fillId="2" borderId="99" xfId="0" applyNumberFormat="1" applyFont="1" applyFill="1" applyBorder="1" applyAlignment="1" applyProtection="1">
      <alignment horizontal="left" vertical="center"/>
      <protection locked="0"/>
    </xf>
    <xf numFmtId="4" fontId="9" fillId="2" borderId="104" xfId="0" applyNumberFormat="1" applyFont="1" applyFill="1" applyBorder="1" applyAlignment="1" applyProtection="1">
      <alignment horizontal="left" vertical="center"/>
      <protection locked="0"/>
    </xf>
    <xf numFmtId="0" fontId="9" fillId="3" borderId="57" xfId="0" applyFont="1" applyFill="1" applyBorder="1" applyAlignment="1" applyProtection="1">
      <alignment horizontal="center" vertical="center"/>
    </xf>
    <xf numFmtId="0" fontId="9" fillId="3" borderId="59" xfId="0" applyFont="1" applyFill="1" applyBorder="1" applyAlignment="1" applyProtection="1">
      <alignment horizontal="center" vertical="center"/>
    </xf>
    <xf numFmtId="0" fontId="13" fillId="3" borderId="16" xfId="0" applyFont="1" applyFill="1" applyBorder="1" applyAlignment="1" applyProtection="1">
      <alignment horizontal="center" vertical="center"/>
    </xf>
    <xf numFmtId="0" fontId="13" fillId="3" borderId="17" xfId="0" applyFont="1" applyFill="1" applyBorder="1" applyAlignment="1" applyProtection="1">
      <alignment horizontal="center" vertical="center"/>
    </xf>
    <xf numFmtId="0" fontId="13" fillId="3" borderId="18" xfId="0" applyFont="1" applyFill="1" applyBorder="1" applyAlignment="1" applyProtection="1">
      <alignment horizontal="center" vertical="center"/>
    </xf>
    <xf numFmtId="0" fontId="33" fillId="3" borderId="76" xfId="132" applyFont="1" applyFill="1" applyBorder="1" applyAlignment="1" applyProtection="1">
      <alignment horizontal="center" wrapText="1"/>
    </xf>
    <xf numFmtId="0" fontId="33" fillId="3" borderId="80" xfId="132" applyFont="1" applyFill="1" applyBorder="1" applyAlignment="1" applyProtection="1">
      <alignment horizontal="center" wrapText="1"/>
    </xf>
    <xf numFmtId="0" fontId="13" fillId="2" borderId="16" xfId="0" applyFont="1" applyFill="1" applyBorder="1" applyAlignment="1">
      <alignment horizontal="left"/>
    </xf>
    <xf numFmtId="0" fontId="13" fillId="2" borderId="18" xfId="0" applyFont="1" applyFill="1" applyBorder="1" applyAlignment="1">
      <alignment horizontal="left"/>
    </xf>
    <xf numFmtId="0" fontId="43" fillId="6" borderId="120" xfId="0" applyFont="1" applyFill="1" applyBorder="1" applyAlignment="1">
      <alignment horizontal="left"/>
    </xf>
    <xf numFmtId="0" fontId="43" fillId="6" borderId="121" xfId="0" applyFont="1" applyFill="1" applyBorder="1" applyAlignment="1">
      <alignment horizontal="left"/>
    </xf>
    <xf numFmtId="0" fontId="42" fillId="6" borderId="120" xfId="0" applyFont="1" applyFill="1" applyBorder="1" applyAlignment="1">
      <alignment horizontal="left"/>
    </xf>
    <xf numFmtId="0" fontId="42" fillId="6" borderId="121" xfId="0" applyFont="1" applyFill="1" applyBorder="1" applyAlignment="1">
      <alignment horizontal="left"/>
    </xf>
    <xf numFmtId="4" fontId="24" fillId="2" borderId="12" xfId="0" applyNumberFormat="1" applyFont="1" applyFill="1" applyBorder="1" applyAlignment="1" applyProtection="1">
      <alignment horizontal="left"/>
    </xf>
    <xf numFmtId="4" fontId="42" fillId="10" borderId="120" xfId="0" applyNumberFormat="1" applyFont="1" applyFill="1" applyBorder="1" applyAlignment="1" applyProtection="1">
      <alignment horizontal="left" vertical="center"/>
    </xf>
    <xf numFmtId="4" fontId="42" fillId="10" borderId="121" xfId="0" applyNumberFormat="1" applyFont="1" applyFill="1" applyBorder="1" applyAlignment="1" applyProtection="1">
      <alignment horizontal="left" vertical="center"/>
    </xf>
    <xf numFmtId="4" fontId="16" fillId="3" borderId="16" xfId="0" applyNumberFormat="1" applyFont="1" applyFill="1" applyBorder="1" applyAlignment="1" applyProtection="1">
      <alignment horizontal="left" vertical="center"/>
    </xf>
    <xf numFmtId="4" fontId="16" fillId="3" borderId="18" xfId="0" applyNumberFormat="1" applyFont="1" applyFill="1" applyBorder="1" applyAlignment="1" applyProtection="1">
      <alignment horizontal="left" vertical="center"/>
    </xf>
    <xf numFmtId="4" fontId="63" fillId="8" borderId="120" xfId="0" applyNumberFormat="1" applyFont="1" applyFill="1" applyBorder="1" applyAlignment="1" applyProtection="1">
      <alignment horizontal="left"/>
    </xf>
    <xf numFmtId="4" fontId="63" fillId="8" borderId="121" xfId="0" applyNumberFormat="1" applyFont="1" applyFill="1" applyBorder="1" applyAlignment="1" applyProtection="1">
      <alignment horizontal="left"/>
    </xf>
    <xf numFmtId="4" fontId="16" fillId="9" borderId="16" xfId="0" applyNumberFormat="1" applyFont="1" applyFill="1" applyBorder="1" applyAlignment="1" applyProtection="1">
      <alignment horizontal="left" vertical="center"/>
    </xf>
    <xf numFmtId="4" fontId="16" fillId="9" borderId="18" xfId="0" applyNumberFormat="1" applyFont="1" applyFill="1" applyBorder="1" applyAlignment="1" applyProtection="1">
      <alignment horizontal="left" vertical="center"/>
    </xf>
    <xf numFmtId="4" fontId="17" fillId="3" borderId="16" xfId="0" applyNumberFormat="1" applyFont="1" applyFill="1" applyBorder="1" applyAlignment="1" applyProtection="1">
      <alignment horizontal="center" vertical="center"/>
    </xf>
    <xf numFmtId="4" fontId="17" fillId="3" borderId="18" xfId="0" applyNumberFormat="1" applyFont="1" applyFill="1" applyBorder="1" applyAlignment="1" applyProtection="1">
      <alignment horizontal="center" vertical="center"/>
    </xf>
    <xf numFmtId="4" fontId="16" fillId="3" borderId="16" xfId="0" applyNumberFormat="1" applyFont="1" applyFill="1" applyBorder="1" applyAlignment="1" applyProtection="1">
      <alignment vertical="center"/>
    </xf>
    <xf numFmtId="4" fontId="16" fillId="3" borderId="18" xfId="0" applyNumberFormat="1" applyFont="1" applyFill="1" applyBorder="1" applyAlignment="1" applyProtection="1">
      <alignment vertical="center"/>
    </xf>
    <xf numFmtId="4" fontId="42" fillId="8" borderId="120" xfId="0" applyNumberFormat="1" applyFont="1" applyFill="1" applyBorder="1" applyAlignment="1" applyProtection="1">
      <alignment horizontal="left" vertical="center"/>
    </xf>
    <xf numFmtId="4" fontId="42" fillId="8" borderId="121" xfId="0" applyNumberFormat="1" applyFont="1" applyFill="1" applyBorder="1" applyAlignment="1" applyProtection="1">
      <alignment horizontal="left" vertical="center"/>
    </xf>
    <xf numFmtId="4" fontId="13" fillId="11" borderId="16" xfId="0" applyNumberFormat="1" applyFont="1" applyFill="1" applyBorder="1" applyAlignment="1" applyProtection="1">
      <alignment vertical="center"/>
    </xf>
    <xf numFmtId="4" fontId="13" fillId="11" borderId="18" xfId="0" applyNumberFormat="1" applyFont="1" applyFill="1" applyBorder="1" applyAlignment="1" applyProtection="1">
      <alignment vertical="center"/>
    </xf>
    <xf numFmtId="4" fontId="16" fillId="11" borderId="16" xfId="0" applyNumberFormat="1" applyFont="1" applyFill="1" applyBorder="1" applyAlignment="1" applyProtection="1">
      <alignment horizontal="left" vertical="center"/>
    </xf>
    <xf numFmtId="4" fontId="16" fillId="11" borderId="18" xfId="0" applyNumberFormat="1" applyFont="1" applyFill="1" applyBorder="1" applyAlignment="1" applyProtection="1">
      <alignment horizontal="left" vertical="center"/>
    </xf>
    <xf numFmtId="4" fontId="68" fillId="2" borderId="207" xfId="0" applyNumberFormat="1" applyFont="1" applyFill="1" applyBorder="1" applyAlignment="1" applyProtection="1">
      <alignment horizontal="right" vertical="center"/>
    </xf>
    <xf numFmtId="4" fontId="68" fillId="2" borderId="208" xfId="0" applyNumberFormat="1" applyFont="1" applyFill="1" applyBorder="1" applyAlignment="1" applyProtection="1">
      <alignment horizontal="right" vertical="center"/>
    </xf>
    <xf numFmtId="4" fontId="68" fillId="2" borderId="209" xfId="0" applyNumberFormat="1" applyFont="1" applyFill="1" applyBorder="1" applyAlignment="1" applyProtection="1">
      <alignment horizontal="right" vertical="center"/>
    </xf>
    <xf numFmtId="3" fontId="15" fillId="3" borderId="0" xfId="0" applyNumberFormat="1" applyFont="1" applyFill="1" applyBorder="1" applyAlignment="1" applyProtection="1">
      <alignment horizontal="center" vertical="center"/>
    </xf>
    <xf numFmtId="4" fontId="13" fillId="4" borderId="0" xfId="0" applyNumberFormat="1" applyFont="1" applyFill="1" applyBorder="1" applyAlignment="1" applyProtection="1">
      <alignment horizontal="left" vertical="center" wrapText="1"/>
    </xf>
    <xf numFmtId="4" fontId="2" fillId="2" borderId="0" xfId="0" applyNumberFormat="1" applyFont="1" applyFill="1" applyBorder="1" applyAlignment="1" applyProtection="1">
      <alignment horizontal="center" vertical="center"/>
    </xf>
  </cellXfs>
  <cellStyles count="2229">
    <cellStyle name="20% - Énfasis1 2" xfId="1176" xr:uid="{00000000-0005-0000-0000-000000000000}"/>
    <cellStyle name="20% - Énfasis1 3" xfId="1177" xr:uid="{00000000-0005-0000-0000-000001000000}"/>
    <cellStyle name="20% - Énfasis2 2" xfId="1178" xr:uid="{00000000-0005-0000-0000-000002000000}"/>
    <cellStyle name="20% - Énfasis2 3" xfId="1179" xr:uid="{00000000-0005-0000-0000-000003000000}"/>
    <cellStyle name="20% - Énfasis3 2" xfId="1180" xr:uid="{00000000-0005-0000-0000-000004000000}"/>
    <cellStyle name="20% - Énfasis3 3" xfId="1181" xr:uid="{00000000-0005-0000-0000-000005000000}"/>
    <cellStyle name="20% - Énfasis4 2" xfId="1182" xr:uid="{00000000-0005-0000-0000-000006000000}"/>
    <cellStyle name="20% - Énfasis4 3" xfId="1183" xr:uid="{00000000-0005-0000-0000-000007000000}"/>
    <cellStyle name="20% - Énfasis5 2" xfId="1184" xr:uid="{00000000-0005-0000-0000-000008000000}"/>
    <cellStyle name="20% - Énfasis5 3" xfId="1185" xr:uid="{00000000-0005-0000-0000-000009000000}"/>
    <cellStyle name="20% - Énfasis6 2" xfId="1186" xr:uid="{00000000-0005-0000-0000-00000A000000}"/>
    <cellStyle name="20% - Énfasis6 3" xfId="1187" xr:uid="{00000000-0005-0000-0000-00000B000000}"/>
    <cellStyle name="40% - Énfasis1 2" xfId="1188" xr:uid="{00000000-0005-0000-0000-00000C000000}"/>
    <cellStyle name="40% - Énfasis1 3" xfId="1189" xr:uid="{00000000-0005-0000-0000-00000D000000}"/>
    <cellStyle name="40% - Énfasis2 2" xfId="1190" xr:uid="{00000000-0005-0000-0000-00000E000000}"/>
    <cellStyle name="40% - Énfasis2 3" xfId="1191" xr:uid="{00000000-0005-0000-0000-00000F000000}"/>
    <cellStyle name="40% - Énfasis3 2" xfId="1192" xr:uid="{00000000-0005-0000-0000-000010000000}"/>
    <cellStyle name="40% - Énfasis3 3" xfId="1193" xr:uid="{00000000-0005-0000-0000-000011000000}"/>
    <cellStyle name="40% - Énfasis4 2" xfId="1194" xr:uid="{00000000-0005-0000-0000-000012000000}"/>
    <cellStyle name="40% - Énfasis4 3" xfId="1195" xr:uid="{00000000-0005-0000-0000-000013000000}"/>
    <cellStyle name="40% - Énfasis5 2" xfId="1196" xr:uid="{00000000-0005-0000-0000-000014000000}"/>
    <cellStyle name="40% - Énfasis5 3" xfId="1197" xr:uid="{00000000-0005-0000-0000-000015000000}"/>
    <cellStyle name="40% - Énfasis6 2" xfId="1198" xr:uid="{00000000-0005-0000-0000-000016000000}"/>
    <cellStyle name="40% - Énfasis6 3" xfId="1199" xr:uid="{00000000-0005-0000-0000-000017000000}"/>
    <cellStyle name="60% - Énfasis1 2" xfId="1200" xr:uid="{00000000-0005-0000-0000-000018000000}"/>
    <cellStyle name="60% - Énfasis1 3" xfId="1201" xr:uid="{00000000-0005-0000-0000-000019000000}"/>
    <cellStyle name="60% - Énfasis2 2" xfId="1202" xr:uid="{00000000-0005-0000-0000-00001A000000}"/>
    <cellStyle name="60% - Énfasis2 3" xfId="1203" xr:uid="{00000000-0005-0000-0000-00001B000000}"/>
    <cellStyle name="60% - Énfasis3 2" xfId="1204" xr:uid="{00000000-0005-0000-0000-00001C000000}"/>
    <cellStyle name="60% - Énfasis3 3" xfId="1205" xr:uid="{00000000-0005-0000-0000-00001D000000}"/>
    <cellStyle name="60% - Énfasis4 2" xfId="1206" xr:uid="{00000000-0005-0000-0000-00001E000000}"/>
    <cellStyle name="60% - Énfasis4 3" xfId="1207" xr:uid="{00000000-0005-0000-0000-00001F000000}"/>
    <cellStyle name="60% - Énfasis5 2" xfId="1208" xr:uid="{00000000-0005-0000-0000-000020000000}"/>
    <cellStyle name="60% - Énfasis5 3" xfId="1209" xr:uid="{00000000-0005-0000-0000-000021000000}"/>
    <cellStyle name="60% - Énfasis6 2" xfId="1210" xr:uid="{00000000-0005-0000-0000-000022000000}"/>
    <cellStyle name="60% - Énfasis6 3" xfId="1211" xr:uid="{00000000-0005-0000-0000-000023000000}"/>
    <cellStyle name="Buena 2" xfId="1212" xr:uid="{00000000-0005-0000-0000-000024000000}"/>
    <cellStyle name="Buena 3" xfId="1213" xr:uid="{00000000-0005-0000-0000-000025000000}"/>
    <cellStyle name="Cálculo 2" xfId="1214" xr:uid="{00000000-0005-0000-0000-000026000000}"/>
    <cellStyle name="Cálculo 2 2" xfId="1215" xr:uid="{00000000-0005-0000-0000-000027000000}"/>
    <cellStyle name="Cálculo 2 2 2" xfId="2228" xr:uid="{00000000-0005-0000-0000-000028000000}"/>
    <cellStyle name="Cálculo 2 3" xfId="2206" xr:uid="{00000000-0005-0000-0000-000029000000}"/>
    <cellStyle name="Cálculo 3" xfId="1216" xr:uid="{00000000-0005-0000-0000-00002A000000}"/>
    <cellStyle name="Cálculo 3 2" xfId="1217" xr:uid="{00000000-0005-0000-0000-00002B000000}"/>
    <cellStyle name="Cálculo 3 2 2" xfId="2207" xr:uid="{00000000-0005-0000-0000-00002C000000}"/>
    <cellStyle name="Cálculo 3 3" xfId="2227" xr:uid="{00000000-0005-0000-0000-00002D000000}"/>
    <cellStyle name="Cálculo 4" xfId="1218" xr:uid="{00000000-0005-0000-0000-00002E000000}"/>
    <cellStyle name="Cálculo 4 2" xfId="2226" xr:uid="{00000000-0005-0000-0000-00002F000000}"/>
    <cellStyle name="Celda de comprobación 2" xfId="1219" xr:uid="{00000000-0005-0000-0000-000030000000}"/>
    <cellStyle name="Celda de comprobación 3" xfId="1220" xr:uid="{00000000-0005-0000-0000-000031000000}"/>
    <cellStyle name="Celda vinculada 2" xfId="1221" xr:uid="{00000000-0005-0000-0000-000032000000}"/>
    <cellStyle name="Celda vinculada 3" xfId="1222" xr:uid="{00000000-0005-0000-0000-000033000000}"/>
    <cellStyle name="Encabezado 4 2" xfId="1223" xr:uid="{00000000-0005-0000-0000-000034000000}"/>
    <cellStyle name="Encabezado 4 3" xfId="1224" xr:uid="{00000000-0005-0000-0000-000035000000}"/>
    <cellStyle name="Énfasis1 2" xfId="1225" xr:uid="{00000000-0005-0000-0000-000036000000}"/>
    <cellStyle name="Énfasis1 3" xfId="1226" xr:uid="{00000000-0005-0000-0000-000037000000}"/>
    <cellStyle name="Énfasis2 2" xfId="1227" xr:uid="{00000000-0005-0000-0000-000038000000}"/>
    <cellStyle name="Énfasis2 3" xfId="1228" xr:uid="{00000000-0005-0000-0000-000039000000}"/>
    <cellStyle name="Énfasis3 2" xfId="1229" xr:uid="{00000000-0005-0000-0000-00003A000000}"/>
    <cellStyle name="Énfasis3 3" xfId="1230" xr:uid="{00000000-0005-0000-0000-00003B000000}"/>
    <cellStyle name="Énfasis4 2" xfId="1231" xr:uid="{00000000-0005-0000-0000-00003C000000}"/>
    <cellStyle name="Énfasis4 3" xfId="1232" xr:uid="{00000000-0005-0000-0000-00003D000000}"/>
    <cellStyle name="Énfasis5 2" xfId="1233" xr:uid="{00000000-0005-0000-0000-00003E000000}"/>
    <cellStyle name="Énfasis5 3" xfId="1234" xr:uid="{00000000-0005-0000-0000-00003F000000}"/>
    <cellStyle name="Énfasis6 2" xfId="1235" xr:uid="{00000000-0005-0000-0000-000040000000}"/>
    <cellStyle name="Énfasis6 3" xfId="1236" xr:uid="{00000000-0005-0000-0000-000041000000}"/>
    <cellStyle name="Entrada 2" xfId="1237" xr:uid="{00000000-0005-0000-0000-000042000000}"/>
    <cellStyle name="Entrada 2 2" xfId="1238" xr:uid="{00000000-0005-0000-0000-000043000000}"/>
    <cellStyle name="Entrada 2 2 2" xfId="2209" xr:uid="{00000000-0005-0000-0000-000044000000}"/>
    <cellStyle name="Entrada 2 3" xfId="2208" xr:uid="{00000000-0005-0000-0000-000045000000}"/>
    <cellStyle name="Entrada 3" xfId="1239" xr:uid="{00000000-0005-0000-0000-000046000000}"/>
    <cellStyle name="Entrada 3 2" xfId="1240" xr:uid="{00000000-0005-0000-0000-000047000000}"/>
    <cellStyle name="Entrada 3 2 2" xfId="2211" xr:uid="{00000000-0005-0000-0000-000048000000}"/>
    <cellStyle name="Entrada 3 3" xfId="2210" xr:uid="{00000000-0005-0000-0000-000049000000}"/>
    <cellStyle name="Entrada 4" xfId="1241" xr:uid="{00000000-0005-0000-0000-00004A000000}"/>
    <cellStyle name="Entrada 4 2" xfId="2212" xr:uid="{00000000-0005-0000-0000-00004B000000}"/>
    <cellStyle name="Euro" xfId="1242" xr:uid="{00000000-0005-0000-0000-00004C000000}"/>
    <cellStyle name="Excel Built-in Normal" xfId="1243" xr:uid="{00000000-0005-0000-0000-00004D000000}"/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1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" xfId="493" builtinId="8" hidden="1"/>
    <cellStyle name="Hipervínculo" xfId="495" builtinId="8" hidden="1"/>
    <cellStyle name="Hipervínculo" xfId="497" builtinId="8" hidden="1"/>
    <cellStyle name="Hipervínculo" xfId="499" builtinId="8" hidden="1"/>
    <cellStyle name="Hipervínculo" xfId="501" builtinId="8" hidden="1"/>
    <cellStyle name="Hipervínculo" xfId="503" builtinId="8" hidden="1"/>
    <cellStyle name="Hipervínculo" xfId="505" builtinId="8" hidden="1"/>
    <cellStyle name="Hipervínculo" xfId="507" builtinId="8" hidden="1"/>
    <cellStyle name="Hipervínculo" xfId="509" builtinId="8" hidden="1"/>
    <cellStyle name="Hipervínculo" xfId="511" builtinId="8" hidden="1"/>
    <cellStyle name="Hipervínculo" xfId="513" builtinId="8" hidden="1"/>
    <cellStyle name="Hipervínculo" xfId="515" builtinId="8" hidden="1"/>
    <cellStyle name="Hipervínculo" xfId="517" builtinId="8" hidden="1"/>
    <cellStyle name="Hipervínculo" xfId="519" builtinId="8" hidden="1"/>
    <cellStyle name="Hipervínculo" xfId="521" builtinId="8" hidden="1"/>
    <cellStyle name="Hipervínculo" xfId="523" builtinId="8" hidden="1"/>
    <cellStyle name="Hipervínculo" xfId="525" builtinId="8" hidden="1"/>
    <cellStyle name="Hipervínculo" xfId="527" builtinId="8" hidden="1"/>
    <cellStyle name="Hipervínculo" xfId="529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599" builtinId="8" hidden="1"/>
    <cellStyle name="Hipervínculo" xfId="601" builtinId="8" hidden="1"/>
    <cellStyle name="Hipervínculo" xfId="603" builtinId="8" hidden="1"/>
    <cellStyle name="Hipervínculo" xfId="605" builtinId="8" hidden="1"/>
    <cellStyle name="Hipervínculo" xfId="607" builtinId="8" hidden="1"/>
    <cellStyle name="Hipervínculo" xfId="609" builtinId="8" hidden="1"/>
    <cellStyle name="Hipervínculo" xfId="611" builtinId="8" hidden="1"/>
    <cellStyle name="Hipervínculo" xfId="613" builtinId="8" hidden="1"/>
    <cellStyle name="Hipervínculo" xfId="615" builtinId="8" hidden="1"/>
    <cellStyle name="Hipervínculo" xfId="617" builtinId="8" hidden="1"/>
    <cellStyle name="Hipervínculo" xfId="619" builtinId="8" hidden="1"/>
    <cellStyle name="Hipervínculo" xfId="621" builtinId="8" hidden="1"/>
    <cellStyle name="Hipervínculo" xfId="623" builtinId="8" hidden="1"/>
    <cellStyle name="Hipervínculo" xfId="625" builtinId="8" hidden="1"/>
    <cellStyle name="Hipervínculo" xfId="627" builtinId="8" hidden="1"/>
    <cellStyle name="Hipervínculo" xfId="629" builtinId="8" hidden="1"/>
    <cellStyle name="Hipervínculo" xfId="631" builtinId="8" hidden="1"/>
    <cellStyle name="Hipervínculo" xfId="633" builtinId="8" hidden="1"/>
    <cellStyle name="Hipervínculo" xfId="635" builtinId="8" hidden="1"/>
    <cellStyle name="Hipervínculo" xfId="637" builtinId="8" hidden="1"/>
    <cellStyle name="Hipervínculo" xfId="639" builtinId="8" hidden="1"/>
    <cellStyle name="Hipervínculo" xfId="641" builtinId="8" hidden="1"/>
    <cellStyle name="Hipervínculo" xfId="643" builtinId="8" hidden="1"/>
    <cellStyle name="Hipervínculo" xfId="645" builtinId="8" hidden="1"/>
    <cellStyle name="Hipervínculo" xfId="647" builtinId="8" hidden="1"/>
    <cellStyle name="Hipervínculo" xfId="649" builtinId="8" hidden="1"/>
    <cellStyle name="Hipervínculo" xfId="651" builtinId="8" hidden="1"/>
    <cellStyle name="Hipervínculo" xfId="653" builtinId="8" hidden="1"/>
    <cellStyle name="Hipervínculo" xfId="655" builtinId="8" hidden="1"/>
    <cellStyle name="Hipervínculo" xfId="657" builtinId="8" hidden="1"/>
    <cellStyle name="Hipervínculo" xfId="659" builtinId="8" hidden="1"/>
    <cellStyle name="Hipervínculo" xfId="661" builtinId="8" hidden="1"/>
    <cellStyle name="Hipervínculo" xfId="663" builtinId="8" hidden="1"/>
    <cellStyle name="Hipervínculo" xfId="665" builtinId="8" hidden="1"/>
    <cellStyle name="Hipervínculo" xfId="667" builtinId="8" hidden="1"/>
    <cellStyle name="Hipervínculo" xfId="669" builtinId="8" hidden="1"/>
    <cellStyle name="Hipervínculo" xfId="671" builtinId="8" hidden="1"/>
    <cellStyle name="Hipervínculo" xfId="673" builtinId="8" hidden="1"/>
    <cellStyle name="Hipervínculo" xfId="675" builtinId="8" hidden="1"/>
    <cellStyle name="Hipervínculo" xfId="677" builtinId="8" hidden="1"/>
    <cellStyle name="Hipervínculo" xfId="679" builtinId="8" hidden="1"/>
    <cellStyle name="Hipervínculo" xfId="681" builtinId="8" hidden="1"/>
    <cellStyle name="Hipervínculo" xfId="683" builtinId="8" hidden="1"/>
    <cellStyle name="Hipervínculo" xfId="685" builtinId="8" hidden="1"/>
    <cellStyle name="Hipervínculo" xfId="687" builtinId="8" hidden="1"/>
    <cellStyle name="Hipervínculo" xfId="689" builtinId="8" hidden="1"/>
    <cellStyle name="Hipervínculo" xfId="691" builtinId="8" hidden="1"/>
    <cellStyle name="Hipervínculo" xfId="693" builtinId="8" hidden="1"/>
    <cellStyle name="Hipervínculo" xfId="695" builtinId="8" hidden="1"/>
    <cellStyle name="Hipervínculo" xfId="697" builtinId="8" hidden="1"/>
    <cellStyle name="Hipervínculo" xfId="699" builtinId="8" hidden="1"/>
    <cellStyle name="Hipervínculo" xfId="701" builtinId="8" hidden="1"/>
    <cellStyle name="Hipervínculo" xfId="703" builtinId="8" hidden="1"/>
    <cellStyle name="Hipervínculo" xfId="705" builtinId="8" hidden="1"/>
    <cellStyle name="Hipervínculo" xfId="707" builtinId="8" hidden="1"/>
    <cellStyle name="Hipervínculo" xfId="709" builtinId="8" hidden="1"/>
    <cellStyle name="Hipervínculo" xfId="711" builtinId="8" hidden="1"/>
    <cellStyle name="Hipervínculo" xfId="713" builtinId="8" hidden="1"/>
    <cellStyle name="Hipervínculo" xfId="715" builtinId="8" hidden="1"/>
    <cellStyle name="Hipervínculo" xfId="717" builtinId="8" hidden="1"/>
    <cellStyle name="Hipervínculo" xfId="719" builtinId="8" hidden="1"/>
    <cellStyle name="Hipervínculo" xfId="721" builtinId="8" hidden="1"/>
    <cellStyle name="Hipervínculo" xfId="723" builtinId="8" hidden="1"/>
    <cellStyle name="Hipervínculo" xfId="725" builtinId="8" hidden="1"/>
    <cellStyle name="Hipervínculo" xfId="727" builtinId="8" hidden="1"/>
    <cellStyle name="Hipervínculo" xfId="729" builtinId="8" hidden="1"/>
    <cellStyle name="Hipervínculo" xfId="731" builtinId="8" hidden="1"/>
    <cellStyle name="Hipervínculo" xfId="733" builtinId="8" hidden="1"/>
    <cellStyle name="Hipervínculo" xfId="735" builtinId="8" hidden="1"/>
    <cellStyle name="Hipervínculo" xfId="737" builtinId="8" hidden="1"/>
    <cellStyle name="Hipervínculo" xfId="739" builtinId="8" hidden="1"/>
    <cellStyle name="Hipervínculo" xfId="741" builtinId="8" hidden="1"/>
    <cellStyle name="Hipervínculo" xfId="743" builtinId="8" hidden="1"/>
    <cellStyle name="Hipervínculo" xfId="745" builtinId="8" hidden="1"/>
    <cellStyle name="Hipervínculo" xfId="747" builtinId="8" hidden="1"/>
    <cellStyle name="Hipervínculo" xfId="749" builtinId="8" hidden="1"/>
    <cellStyle name="Hipervínculo" xfId="751" builtinId="8" hidden="1"/>
    <cellStyle name="Hipervínculo" xfId="753" builtinId="8" hidden="1"/>
    <cellStyle name="Hipervínculo" xfId="755" builtinId="8" hidden="1"/>
    <cellStyle name="Hipervínculo" xfId="757" builtinId="8" hidden="1"/>
    <cellStyle name="Hipervínculo" xfId="759" builtinId="8" hidden="1"/>
    <cellStyle name="Hipervínculo" xfId="761" builtinId="8" hidden="1"/>
    <cellStyle name="Hipervínculo" xfId="763" builtinId="8" hidden="1"/>
    <cellStyle name="Hipervínculo" xfId="765" builtinId="8" hidden="1"/>
    <cellStyle name="Hipervínculo" xfId="767" builtinId="8" hidden="1"/>
    <cellStyle name="Hipervínculo" xfId="769" builtinId="8" hidden="1"/>
    <cellStyle name="Hipervínculo" xfId="771" builtinId="8" hidden="1"/>
    <cellStyle name="Hipervínculo" xfId="773" builtinId="8" hidden="1"/>
    <cellStyle name="Hipervínculo" xfId="775" builtinId="8" hidden="1"/>
    <cellStyle name="Hipervínculo" xfId="777" builtinId="8" hidden="1"/>
    <cellStyle name="Hipervínculo" xfId="779" builtinId="8" hidden="1"/>
    <cellStyle name="Hipervínculo" xfId="781" builtinId="8" hidden="1"/>
    <cellStyle name="Hipervínculo" xfId="783" builtinId="8" hidden="1"/>
    <cellStyle name="Hipervínculo" xfId="785" builtinId="8" hidden="1"/>
    <cellStyle name="Hipervínculo" xfId="787" builtinId="8" hidden="1"/>
    <cellStyle name="Hipervínculo" xfId="789" builtinId="8" hidden="1"/>
    <cellStyle name="Hipervínculo" xfId="791" builtinId="8" hidden="1"/>
    <cellStyle name="Hipervínculo" xfId="793" builtinId="8" hidden="1"/>
    <cellStyle name="Hipervínculo" xfId="795" builtinId="8" hidden="1"/>
    <cellStyle name="Hipervínculo" xfId="797" builtinId="8" hidden="1"/>
    <cellStyle name="Hipervínculo" xfId="799" builtinId="8" hidden="1"/>
    <cellStyle name="Hipervínculo" xfId="801" builtinId="8" hidden="1"/>
    <cellStyle name="Hipervínculo" xfId="803" builtinId="8" hidden="1"/>
    <cellStyle name="Hipervínculo" xfId="805" builtinId="8" hidden="1"/>
    <cellStyle name="Hipervínculo" xfId="807" builtinId="8" hidden="1"/>
    <cellStyle name="Hipervínculo" xfId="809" builtinId="8" hidden="1"/>
    <cellStyle name="Hipervínculo" xfId="811" builtinId="8" hidden="1"/>
    <cellStyle name="Hipervínculo" xfId="813" builtinId="8" hidden="1"/>
    <cellStyle name="Hipervínculo" xfId="815" builtinId="8" hidden="1"/>
    <cellStyle name="Hipervínculo" xfId="817" builtinId="8" hidden="1"/>
    <cellStyle name="Hipervínculo" xfId="819" builtinId="8" hidden="1"/>
    <cellStyle name="Hipervínculo" xfId="821" builtinId="8" hidden="1"/>
    <cellStyle name="Hipervínculo" xfId="823" builtinId="8" hidden="1"/>
    <cellStyle name="Hipervínculo" xfId="825" builtinId="8" hidden="1"/>
    <cellStyle name="Hipervínculo" xfId="827" builtinId="8" hidden="1"/>
    <cellStyle name="Hipervínculo" xfId="829" builtinId="8" hidden="1"/>
    <cellStyle name="Hipervínculo" xfId="831" builtinId="8" hidden="1"/>
    <cellStyle name="Hipervínculo" xfId="833" builtinId="8" hidden="1"/>
    <cellStyle name="Hipervínculo" xfId="835" builtinId="8" hidden="1"/>
    <cellStyle name="Hipervínculo" xfId="837" builtinId="8" hidden="1"/>
    <cellStyle name="Hipervínculo" xfId="839" builtinId="8" hidden="1"/>
    <cellStyle name="Hipervínculo" xfId="841" builtinId="8" hidden="1"/>
    <cellStyle name="Hipervínculo" xfId="843" builtinId="8" hidden="1"/>
    <cellStyle name="Hipervínculo" xfId="845" builtinId="8" hidden="1"/>
    <cellStyle name="Hipervínculo" xfId="847" builtinId="8" hidden="1"/>
    <cellStyle name="Hipervínculo" xfId="849" builtinId="8" hidden="1"/>
    <cellStyle name="Hipervínculo" xfId="851" builtinId="8" hidden="1"/>
    <cellStyle name="Hipervínculo" xfId="853" builtinId="8" hidden="1"/>
    <cellStyle name="Hipervínculo" xfId="855" builtinId="8" hidden="1"/>
    <cellStyle name="Hipervínculo" xfId="857" builtinId="8" hidden="1"/>
    <cellStyle name="Hipervínculo" xfId="859" builtinId="8" hidden="1"/>
    <cellStyle name="Hipervínculo" xfId="861" builtinId="8" hidden="1"/>
    <cellStyle name="Hipervínculo" xfId="863" builtinId="8" hidden="1"/>
    <cellStyle name="Hipervínculo" xfId="865" builtinId="8" hidden="1"/>
    <cellStyle name="Hipervínculo" xfId="867" builtinId="8" hidden="1"/>
    <cellStyle name="Hipervínculo" xfId="869" builtinId="8" hidden="1"/>
    <cellStyle name="Hipervínculo" xfId="871" builtinId="8" hidden="1"/>
    <cellStyle name="Hipervínculo" xfId="873" builtinId="8" hidden="1"/>
    <cellStyle name="Hipervínculo" xfId="875" builtinId="8" hidden="1"/>
    <cellStyle name="Hipervínculo" xfId="877" builtinId="8" hidden="1"/>
    <cellStyle name="Hipervínculo" xfId="879" builtinId="8" hidden="1"/>
    <cellStyle name="Hipervínculo" xfId="881" builtinId="8" hidden="1"/>
    <cellStyle name="Hipervínculo" xfId="883" builtinId="8" hidden="1"/>
    <cellStyle name="Hipervínculo" xfId="885" builtinId="8" hidden="1"/>
    <cellStyle name="Hipervínculo" xfId="887" builtinId="8" hidden="1"/>
    <cellStyle name="Hipervínculo" xfId="889" builtinId="8" hidden="1"/>
    <cellStyle name="Hipervínculo" xfId="891" builtinId="8" hidden="1"/>
    <cellStyle name="Hipervínculo" xfId="893" builtinId="8" hidden="1"/>
    <cellStyle name="Hipervínculo" xfId="895" builtinId="8" hidden="1"/>
    <cellStyle name="Hipervínculo" xfId="897" builtinId="8" hidden="1"/>
    <cellStyle name="Hipervínculo" xfId="899" builtinId="8" hidden="1"/>
    <cellStyle name="Hipervínculo" xfId="901" builtinId="8" hidden="1"/>
    <cellStyle name="Hipervínculo" xfId="903" builtinId="8" hidden="1"/>
    <cellStyle name="Hipervínculo" xfId="905" builtinId="8" hidden="1"/>
    <cellStyle name="Hipervínculo" xfId="907" builtinId="8" hidden="1"/>
    <cellStyle name="Hipervínculo" xfId="909" builtinId="8" hidden="1"/>
    <cellStyle name="Hipervínculo" xfId="911" builtinId="8" hidden="1"/>
    <cellStyle name="Hipervínculo" xfId="913" builtinId="8" hidden="1"/>
    <cellStyle name="Hipervínculo" xfId="915" builtinId="8" hidden="1"/>
    <cellStyle name="Hipervínculo" xfId="917" builtinId="8" hidden="1"/>
    <cellStyle name="Hipervínculo" xfId="919" builtinId="8" hidden="1"/>
    <cellStyle name="Hipervínculo" xfId="921" builtinId="8" hidden="1"/>
    <cellStyle name="Hipervínculo" xfId="923" builtinId="8" hidden="1"/>
    <cellStyle name="Hipervínculo" xfId="925" builtinId="8" hidden="1"/>
    <cellStyle name="Hipervínculo" xfId="927" builtinId="8" hidden="1"/>
    <cellStyle name="Hipervínculo" xfId="929" builtinId="8" hidden="1"/>
    <cellStyle name="Hipervínculo" xfId="931" builtinId="8" hidden="1"/>
    <cellStyle name="Hipervínculo" xfId="933" builtinId="8" hidden="1"/>
    <cellStyle name="Hipervínculo" xfId="935" builtinId="8" hidden="1"/>
    <cellStyle name="Hipervínculo" xfId="937" builtinId="8" hidden="1"/>
    <cellStyle name="Hipervínculo" xfId="939" builtinId="8" hidden="1"/>
    <cellStyle name="Hipervínculo" xfId="941" builtinId="8" hidden="1"/>
    <cellStyle name="Hipervínculo" xfId="943" builtinId="8" hidden="1"/>
    <cellStyle name="Hipervínculo" xfId="945" builtinId="8" hidden="1"/>
    <cellStyle name="Hipervínculo" xfId="947" builtinId="8" hidden="1"/>
    <cellStyle name="Hipervínculo" xfId="949" builtinId="8" hidden="1"/>
    <cellStyle name="Hipervínculo" xfId="951" builtinId="8" hidden="1"/>
    <cellStyle name="Hipervínculo" xfId="953" builtinId="8" hidden="1"/>
    <cellStyle name="Hipervínculo" xfId="955" builtinId="8" hidden="1"/>
    <cellStyle name="Hipervínculo" xfId="957" builtinId="8" hidden="1"/>
    <cellStyle name="Hipervínculo" xfId="959" builtinId="8" hidden="1"/>
    <cellStyle name="Hipervínculo" xfId="961" builtinId="8" hidden="1"/>
    <cellStyle name="Hipervínculo" xfId="963" builtinId="8" hidden="1"/>
    <cellStyle name="Hipervínculo" xfId="965" builtinId="8" hidden="1"/>
    <cellStyle name="Hipervínculo" xfId="967" builtinId="8" hidden="1"/>
    <cellStyle name="Hipervínculo" xfId="969" builtinId="8" hidden="1"/>
    <cellStyle name="Hipervínculo" xfId="971" builtinId="8" hidden="1"/>
    <cellStyle name="Hipervínculo" xfId="973" builtinId="8" hidden="1"/>
    <cellStyle name="Hipervínculo" xfId="975" builtinId="8" hidden="1"/>
    <cellStyle name="Hipervínculo" xfId="977" builtinId="8" hidden="1"/>
    <cellStyle name="Hipervínculo" xfId="979" builtinId="8" hidden="1"/>
    <cellStyle name="Hipervínculo" xfId="981" builtinId="8" hidden="1"/>
    <cellStyle name="Hipervínculo" xfId="983" builtinId="8" hidden="1"/>
    <cellStyle name="Hipervínculo" xfId="985" builtinId="8" hidden="1"/>
    <cellStyle name="Hipervínculo" xfId="987" builtinId="8" hidden="1"/>
    <cellStyle name="Hipervínculo" xfId="989" builtinId="8" hidden="1"/>
    <cellStyle name="Hipervínculo" xfId="991" builtinId="8" hidden="1"/>
    <cellStyle name="Hipervínculo" xfId="993" builtinId="8" hidden="1"/>
    <cellStyle name="Hipervínculo" xfId="995" builtinId="8" hidden="1"/>
    <cellStyle name="Hipervínculo" xfId="997" builtinId="8" hidden="1"/>
    <cellStyle name="Hipervínculo" xfId="999" builtinId="8" hidden="1"/>
    <cellStyle name="Hipervínculo" xfId="1001" builtinId="8" hidden="1"/>
    <cellStyle name="Hipervínculo" xfId="1003" builtinId="8" hidden="1"/>
    <cellStyle name="Hipervínculo" xfId="1005" builtinId="8" hidden="1"/>
    <cellStyle name="Hipervínculo" xfId="1007" builtinId="8" hidden="1"/>
    <cellStyle name="Hipervínculo" xfId="1009" builtinId="8" hidden="1"/>
    <cellStyle name="Hipervínculo" xfId="1011" builtinId="8" hidden="1"/>
    <cellStyle name="Hipervínculo" xfId="1013" builtinId="8" hidden="1"/>
    <cellStyle name="Hipervínculo" xfId="1015" builtinId="8" hidden="1"/>
    <cellStyle name="Hipervínculo" xfId="1017" builtinId="8" hidden="1"/>
    <cellStyle name="Hipervínculo" xfId="1019" builtinId="8" hidden="1"/>
    <cellStyle name="Hipervínculo" xfId="1021" builtinId="8" hidden="1"/>
    <cellStyle name="Hipervínculo" xfId="1023" builtinId="8" hidden="1"/>
    <cellStyle name="Hipervínculo" xfId="1025" builtinId="8" hidden="1"/>
    <cellStyle name="Hipervínculo" xfId="1027" builtinId="8" hidden="1"/>
    <cellStyle name="Hipervínculo" xfId="1029" builtinId="8" hidden="1"/>
    <cellStyle name="Hipervínculo" xfId="1031" builtinId="8" hidden="1"/>
    <cellStyle name="Hipervínculo" xfId="1033" builtinId="8" hidden="1"/>
    <cellStyle name="Hipervínculo" xfId="1035" builtinId="8" hidden="1"/>
    <cellStyle name="Hipervínculo" xfId="1037" builtinId="8" hidden="1"/>
    <cellStyle name="Hipervínculo" xfId="1039" builtinId="8" hidden="1"/>
    <cellStyle name="Hipervínculo" xfId="1041" builtinId="8" hidden="1"/>
    <cellStyle name="Hipervínculo" xfId="1043" builtinId="8" hidden="1"/>
    <cellStyle name="Hipervínculo" xfId="1045" builtinId="8" hidden="1"/>
    <cellStyle name="Hipervínculo" xfId="1047" builtinId="8" hidden="1"/>
    <cellStyle name="Hipervínculo" xfId="1049" builtinId="8" hidden="1"/>
    <cellStyle name="Hipervínculo" xfId="1051" builtinId="8" hidden="1"/>
    <cellStyle name="Hipervínculo" xfId="1053" builtinId="8" hidden="1"/>
    <cellStyle name="Hipervínculo" xfId="1055" builtinId="8" hidden="1"/>
    <cellStyle name="Hipervínculo" xfId="1057" builtinId="8" hidden="1"/>
    <cellStyle name="Hipervínculo" xfId="1059" builtinId="8" hidden="1"/>
    <cellStyle name="Hipervínculo" xfId="1061" builtinId="8" hidden="1"/>
    <cellStyle name="Hipervínculo" xfId="1063" builtinId="8" hidden="1"/>
    <cellStyle name="Hipervínculo" xfId="1065" builtinId="8" hidden="1"/>
    <cellStyle name="Hipervínculo" xfId="1067" builtinId="8" hidden="1"/>
    <cellStyle name="Hipervínculo" xfId="1069" builtinId="8" hidden="1"/>
    <cellStyle name="Hipervínculo" xfId="1071" builtinId="8" hidden="1"/>
    <cellStyle name="Hipervínculo" xfId="1073" builtinId="8" hidden="1"/>
    <cellStyle name="Hipervínculo" xfId="1075" builtinId="8" hidden="1"/>
    <cellStyle name="Hipervínculo" xfId="1077" builtinId="8" hidden="1"/>
    <cellStyle name="Hipervínculo" xfId="1079" builtinId="8" hidden="1"/>
    <cellStyle name="Hipervínculo" xfId="1081" builtinId="8" hidden="1"/>
    <cellStyle name="Hipervínculo" xfId="1083" builtinId="8" hidden="1"/>
    <cellStyle name="Hipervínculo" xfId="1085" builtinId="8" hidden="1"/>
    <cellStyle name="Hipervínculo" xfId="1087" builtinId="8" hidden="1"/>
    <cellStyle name="Hipervínculo" xfId="1089" builtinId="8" hidden="1"/>
    <cellStyle name="Hipervínculo" xfId="1091" builtinId="8" hidden="1"/>
    <cellStyle name="Hipervínculo" xfId="1093" builtinId="8" hidden="1"/>
    <cellStyle name="Hipervínculo" xfId="1095" builtinId="8" hidden="1"/>
    <cellStyle name="Hipervínculo" xfId="1097" builtinId="8" hidden="1"/>
    <cellStyle name="Hipervínculo" xfId="1099" builtinId="8" hidden="1"/>
    <cellStyle name="Hipervínculo" xfId="1101" builtinId="8" hidden="1"/>
    <cellStyle name="Hipervínculo" xfId="1103" builtinId="8" hidden="1"/>
    <cellStyle name="Hipervínculo" xfId="1105" builtinId="8" hidden="1"/>
    <cellStyle name="Hipervínculo" xfId="1107" builtinId="8" hidden="1"/>
    <cellStyle name="Hipervínculo" xfId="1109" builtinId="8" hidden="1"/>
    <cellStyle name="Hipervínculo" xfId="1111" builtinId="8" hidden="1"/>
    <cellStyle name="Hipervínculo" xfId="1113" builtinId="8" hidden="1"/>
    <cellStyle name="Hipervínculo" xfId="1115" builtinId="8" hidden="1"/>
    <cellStyle name="Hipervínculo" xfId="1117" builtinId="8" hidden="1"/>
    <cellStyle name="Hipervínculo" xfId="1119" builtinId="8" hidden="1"/>
    <cellStyle name="Hipervínculo" xfId="1121" builtinId="8" hidden="1"/>
    <cellStyle name="Hipervínculo" xfId="1123" builtinId="8" hidden="1"/>
    <cellStyle name="Hipervínculo" xfId="1125" builtinId="8" hidden="1"/>
    <cellStyle name="Hipervínculo" xfId="1127" builtinId="8" hidden="1"/>
    <cellStyle name="Hipervínculo" xfId="1129" builtinId="8" hidden="1"/>
    <cellStyle name="Hipervínculo" xfId="1131" builtinId="8" hidden="1"/>
    <cellStyle name="Hipervínculo" xfId="1133" builtinId="8" hidden="1"/>
    <cellStyle name="Hipervínculo" xfId="1135" builtinId="8" hidden="1"/>
    <cellStyle name="Hipervínculo" xfId="1137" builtinId="8" hidden="1"/>
    <cellStyle name="Hipervínculo" xfId="1139" builtinId="8" hidden="1"/>
    <cellStyle name="Hipervínculo" xfId="1141" builtinId="8" hidden="1"/>
    <cellStyle name="Hipervínculo" xfId="1143" builtinId="8" hidden="1"/>
    <cellStyle name="Hipervínculo" xfId="1145" builtinId="8" hidden="1"/>
    <cellStyle name="Hipervínculo" xfId="1147" builtinId="8" hidden="1"/>
    <cellStyle name="Hipervínculo" xfId="1149" builtinId="8" hidden="1"/>
    <cellStyle name="Hipervínculo" xfId="1151" builtinId="8" hidden="1"/>
    <cellStyle name="Hipervínculo" xfId="1153" builtinId="8" hidden="1"/>
    <cellStyle name="Hipervínculo" xfId="1155" builtinId="8" hidden="1"/>
    <cellStyle name="Hipervínculo" xfId="1157" builtinId="8" hidden="1"/>
    <cellStyle name="Hipervínculo" xfId="1159" builtinId="8" hidden="1"/>
    <cellStyle name="Hipervínculo" xfId="1161" builtinId="8" hidden="1"/>
    <cellStyle name="Hipervínculo" xfId="1163" builtinId="8" hidden="1"/>
    <cellStyle name="Hipervínculo" xfId="1165" builtinId="8" hidden="1"/>
    <cellStyle name="Hipervínculo" xfId="1167" builtinId="8" hidden="1"/>
    <cellStyle name="Hipervínculo 10" xfId="1244" xr:uid="{00000000-0005-0000-0000-000095020000}"/>
    <cellStyle name="Hipervínculo 11" xfId="1245" xr:uid="{00000000-0005-0000-0000-000096020000}"/>
    <cellStyle name="Hipervínculo 2" xfId="1246" xr:uid="{00000000-0005-0000-0000-000097020000}"/>
    <cellStyle name="Hipervínculo 3" xfId="1247" xr:uid="{00000000-0005-0000-0000-000098020000}"/>
    <cellStyle name="Hipervínculo 4" xfId="1248" xr:uid="{00000000-0005-0000-0000-000099020000}"/>
    <cellStyle name="Hipervínculo 5" xfId="1249" xr:uid="{00000000-0005-0000-0000-00009A020000}"/>
    <cellStyle name="Hipervínculo 6" xfId="1250" xr:uid="{00000000-0005-0000-0000-00009B020000}"/>
    <cellStyle name="Hipervínculo 7" xfId="1251" xr:uid="{00000000-0005-0000-0000-00009C020000}"/>
    <cellStyle name="Hipervínculo 8" xfId="1252" xr:uid="{00000000-0005-0000-0000-00009D020000}"/>
    <cellStyle name="Hipervínculo 9" xfId="1253" xr:uid="{00000000-0005-0000-0000-00009E020000}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Hipervínculo visitado" xfId="494" builtinId="9" hidden="1"/>
    <cellStyle name="Hipervínculo visitado" xfId="496" builtinId="9" hidden="1"/>
    <cellStyle name="Hipervínculo visitado" xfId="498" builtinId="9" hidden="1"/>
    <cellStyle name="Hipervínculo visitado" xfId="500" builtinId="9" hidden="1"/>
    <cellStyle name="Hipervínculo visitado" xfId="502" builtinId="9" hidden="1"/>
    <cellStyle name="Hipervínculo visitado" xfId="504" builtinId="9" hidden="1"/>
    <cellStyle name="Hipervínculo visitado" xfId="506" builtinId="9" hidden="1"/>
    <cellStyle name="Hipervínculo visitado" xfId="508" builtinId="9" hidden="1"/>
    <cellStyle name="Hipervínculo visitado" xfId="510" builtinId="9" hidden="1"/>
    <cellStyle name="Hipervínculo visitado" xfId="512" builtinId="9" hidden="1"/>
    <cellStyle name="Hipervínculo visitado" xfId="514" builtinId="9" hidden="1"/>
    <cellStyle name="Hipervínculo visitado" xfId="516" builtinId="9" hidden="1"/>
    <cellStyle name="Hipervínculo visitado" xfId="518" builtinId="9" hidden="1"/>
    <cellStyle name="Hipervínculo visitado" xfId="520" builtinId="9" hidden="1"/>
    <cellStyle name="Hipervínculo visitado" xfId="522" builtinId="9" hidden="1"/>
    <cellStyle name="Hipervínculo visitado" xfId="524" builtinId="9" hidden="1"/>
    <cellStyle name="Hipervínculo visitado" xfId="526" builtinId="9" hidden="1"/>
    <cellStyle name="Hipervínculo visitado" xfId="528" builtinId="9" hidden="1"/>
    <cellStyle name="Hipervínculo visitado" xfId="530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0" builtinId="9" hidden="1"/>
    <cellStyle name="Hipervínculo visitado" xfId="602" builtinId="9" hidden="1"/>
    <cellStyle name="Hipervínculo visitado" xfId="604" builtinId="9" hidden="1"/>
    <cellStyle name="Hipervínculo visitado" xfId="606" builtinId="9" hidden="1"/>
    <cellStyle name="Hipervínculo visitado" xfId="608" builtinId="9" hidden="1"/>
    <cellStyle name="Hipervínculo visitado" xfId="610" builtinId="9" hidden="1"/>
    <cellStyle name="Hipervínculo visitado" xfId="612" builtinId="9" hidden="1"/>
    <cellStyle name="Hipervínculo visitado" xfId="614" builtinId="9" hidden="1"/>
    <cellStyle name="Hipervínculo visitado" xfId="616" builtinId="9" hidden="1"/>
    <cellStyle name="Hipervínculo visitado" xfId="618" builtinId="9" hidden="1"/>
    <cellStyle name="Hipervínculo visitado" xfId="620" builtinId="9" hidden="1"/>
    <cellStyle name="Hipervínculo visitado" xfId="622" builtinId="9" hidden="1"/>
    <cellStyle name="Hipervínculo visitado" xfId="624" builtinId="9" hidden="1"/>
    <cellStyle name="Hipervínculo visitado" xfId="626" builtinId="9" hidden="1"/>
    <cellStyle name="Hipervínculo visitado" xfId="628" builtinId="9" hidden="1"/>
    <cellStyle name="Hipervínculo visitado" xfId="630" builtinId="9" hidden="1"/>
    <cellStyle name="Hipervínculo visitado" xfId="632" builtinId="9" hidden="1"/>
    <cellStyle name="Hipervínculo visitado" xfId="634" builtinId="9" hidden="1"/>
    <cellStyle name="Hipervínculo visitado" xfId="636" builtinId="9" hidden="1"/>
    <cellStyle name="Hipervínculo visitado" xfId="638" builtinId="9" hidden="1"/>
    <cellStyle name="Hipervínculo visitado" xfId="640" builtinId="9" hidden="1"/>
    <cellStyle name="Hipervínculo visitado" xfId="642" builtinId="9" hidden="1"/>
    <cellStyle name="Hipervínculo visitado" xfId="644" builtinId="9" hidden="1"/>
    <cellStyle name="Hipervínculo visitado" xfId="646" builtinId="9" hidden="1"/>
    <cellStyle name="Hipervínculo visitado" xfId="648" builtinId="9" hidden="1"/>
    <cellStyle name="Hipervínculo visitado" xfId="650" builtinId="9" hidden="1"/>
    <cellStyle name="Hipervínculo visitado" xfId="652" builtinId="9" hidden="1"/>
    <cellStyle name="Hipervínculo visitado" xfId="654" builtinId="9" hidden="1"/>
    <cellStyle name="Hipervínculo visitado" xfId="656" builtinId="9" hidden="1"/>
    <cellStyle name="Hipervínculo visitado" xfId="658" builtinId="9" hidden="1"/>
    <cellStyle name="Hipervínculo visitado" xfId="660" builtinId="9" hidden="1"/>
    <cellStyle name="Hipervínculo visitado" xfId="662" builtinId="9" hidden="1"/>
    <cellStyle name="Hipervínculo visitado" xfId="664" builtinId="9" hidden="1"/>
    <cellStyle name="Hipervínculo visitado" xfId="666" builtinId="9" hidden="1"/>
    <cellStyle name="Hipervínculo visitado" xfId="668" builtinId="9" hidden="1"/>
    <cellStyle name="Hipervínculo visitado" xfId="670" builtinId="9" hidden="1"/>
    <cellStyle name="Hipervínculo visitado" xfId="672" builtinId="9" hidden="1"/>
    <cellStyle name="Hipervínculo visitado" xfId="674" builtinId="9" hidden="1"/>
    <cellStyle name="Hipervínculo visitado" xfId="676" builtinId="9" hidden="1"/>
    <cellStyle name="Hipervínculo visitado" xfId="678" builtinId="9" hidden="1"/>
    <cellStyle name="Hipervínculo visitado" xfId="680" builtinId="9" hidden="1"/>
    <cellStyle name="Hipervínculo visitado" xfId="682" builtinId="9" hidden="1"/>
    <cellStyle name="Hipervínculo visitado" xfId="684" builtinId="9" hidden="1"/>
    <cellStyle name="Hipervínculo visitado" xfId="686" builtinId="9" hidden="1"/>
    <cellStyle name="Hipervínculo visitado" xfId="688" builtinId="9" hidden="1"/>
    <cellStyle name="Hipervínculo visitado" xfId="690" builtinId="9" hidden="1"/>
    <cellStyle name="Hipervínculo visitado" xfId="692" builtinId="9" hidden="1"/>
    <cellStyle name="Hipervínculo visitado" xfId="694" builtinId="9" hidden="1"/>
    <cellStyle name="Hipervínculo visitado" xfId="696" builtinId="9" hidden="1"/>
    <cellStyle name="Hipervínculo visitado" xfId="698" builtinId="9" hidden="1"/>
    <cellStyle name="Hipervínculo visitado" xfId="700" builtinId="9" hidden="1"/>
    <cellStyle name="Hipervínculo visitado" xfId="702" builtinId="9" hidden="1"/>
    <cellStyle name="Hipervínculo visitado" xfId="704" builtinId="9" hidden="1"/>
    <cellStyle name="Hipervínculo visitado" xfId="706" builtinId="9" hidden="1"/>
    <cellStyle name="Hipervínculo visitado" xfId="708" builtinId="9" hidden="1"/>
    <cellStyle name="Hipervínculo visitado" xfId="710" builtinId="9" hidden="1"/>
    <cellStyle name="Hipervínculo visitado" xfId="712" builtinId="9" hidden="1"/>
    <cellStyle name="Hipervínculo visitado" xfId="714" builtinId="9" hidden="1"/>
    <cellStyle name="Hipervínculo visitado" xfId="716" builtinId="9" hidden="1"/>
    <cellStyle name="Hipervínculo visitado" xfId="718" builtinId="9" hidden="1"/>
    <cellStyle name="Hipervínculo visitado" xfId="720" builtinId="9" hidden="1"/>
    <cellStyle name="Hipervínculo visitado" xfId="722" builtinId="9" hidden="1"/>
    <cellStyle name="Hipervínculo visitado" xfId="724" builtinId="9" hidden="1"/>
    <cellStyle name="Hipervínculo visitado" xfId="726" builtinId="9" hidden="1"/>
    <cellStyle name="Hipervínculo visitado" xfId="728" builtinId="9" hidden="1"/>
    <cellStyle name="Hipervínculo visitado" xfId="730" builtinId="9" hidden="1"/>
    <cellStyle name="Hipervínculo visitado" xfId="732" builtinId="9" hidden="1"/>
    <cellStyle name="Hipervínculo visitado" xfId="734" builtinId="9" hidden="1"/>
    <cellStyle name="Hipervínculo visitado" xfId="736" builtinId="9" hidden="1"/>
    <cellStyle name="Hipervínculo visitado" xfId="738" builtinId="9" hidden="1"/>
    <cellStyle name="Hipervínculo visitado" xfId="740" builtinId="9" hidden="1"/>
    <cellStyle name="Hipervínculo visitado" xfId="742" builtinId="9" hidden="1"/>
    <cellStyle name="Hipervínculo visitado" xfId="744" builtinId="9" hidden="1"/>
    <cellStyle name="Hipervínculo visitado" xfId="746" builtinId="9" hidden="1"/>
    <cellStyle name="Hipervínculo visitado" xfId="748" builtinId="9" hidden="1"/>
    <cellStyle name="Hipervínculo visitado" xfId="750" builtinId="9" hidden="1"/>
    <cellStyle name="Hipervínculo visitado" xfId="752" builtinId="9" hidden="1"/>
    <cellStyle name="Hipervínculo visitado" xfId="754" builtinId="9" hidden="1"/>
    <cellStyle name="Hipervínculo visitado" xfId="756" builtinId="9" hidden="1"/>
    <cellStyle name="Hipervínculo visitado" xfId="758" builtinId="9" hidden="1"/>
    <cellStyle name="Hipervínculo visitado" xfId="760" builtinId="9" hidden="1"/>
    <cellStyle name="Hipervínculo visitado" xfId="762" builtinId="9" hidden="1"/>
    <cellStyle name="Hipervínculo visitado" xfId="764" builtinId="9" hidden="1"/>
    <cellStyle name="Hipervínculo visitado" xfId="766" builtinId="9" hidden="1"/>
    <cellStyle name="Hipervínculo visitado" xfId="768" builtinId="9" hidden="1"/>
    <cellStyle name="Hipervínculo visitado" xfId="770" builtinId="9" hidden="1"/>
    <cellStyle name="Hipervínculo visitado" xfId="772" builtinId="9" hidden="1"/>
    <cellStyle name="Hipervínculo visitado" xfId="774" builtinId="9" hidden="1"/>
    <cellStyle name="Hipervínculo visitado" xfId="776" builtinId="9" hidden="1"/>
    <cellStyle name="Hipervínculo visitado" xfId="778" builtinId="9" hidden="1"/>
    <cellStyle name="Hipervínculo visitado" xfId="780" builtinId="9" hidden="1"/>
    <cellStyle name="Hipervínculo visitado" xfId="782" builtinId="9" hidden="1"/>
    <cellStyle name="Hipervínculo visitado" xfId="784" builtinId="9" hidden="1"/>
    <cellStyle name="Hipervínculo visitado" xfId="786" builtinId="9" hidden="1"/>
    <cellStyle name="Hipervínculo visitado" xfId="788" builtinId="9" hidden="1"/>
    <cellStyle name="Hipervínculo visitado" xfId="790" builtinId="9" hidden="1"/>
    <cellStyle name="Hipervínculo visitado" xfId="792" builtinId="9" hidden="1"/>
    <cellStyle name="Hipervínculo visitado" xfId="794" builtinId="9" hidden="1"/>
    <cellStyle name="Hipervínculo visitado" xfId="796" builtinId="9" hidden="1"/>
    <cellStyle name="Hipervínculo visitado" xfId="798" builtinId="9" hidden="1"/>
    <cellStyle name="Hipervínculo visitado" xfId="800" builtinId="9" hidden="1"/>
    <cellStyle name="Hipervínculo visitado" xfId="802" builtinId="9" hidden="1"/>
    <cellStyle name="Hipervínculo visitado" xfId="804" builtinId="9" hidden="1"/>
    <cellStyle name="Hipervínculo visitado" xfId="806" builtinId="9" hidden="1"/>
    <cellStyle name="Hipervínculo visitado" xfId="808" builtinId="9" hidden="1"/>
    <cellStyle name="Hipervínculo visitado" xfId="810" builtinId="9" hidden="1"/>
    <cellStyle name="Hipervínculo visitado" xfId="812" builtinId="9" hidden="1"/>
    <cellStyle name="Hipervínculo visitado" xfId="814" builtinId="9" hidden="1"/>
    <cellStyle name="Hipervínculo visitado" xfId="816" builtinId="9" hidden="1"/>
    <cellStyle name="Hipervínculo visitado" xfId="818" builtinId="9" hidden="1"/>
    <cellStyle name="Hipervínculo visitado" xfId="820" builtinId="9" hidden="1"/>
    <cellStyle name="Hipervínculo visitado" xfId="822" builtinId="9" hidden="1"/>
    <cellStyle name="Hipervínculo visitado" xfId="824" builtinId="9" hidden="1"/>
    <cellStyle name="Hipervínculo visitado" xfId="826" builtinId="9" hidden="1"/>
    <cellStyle name="Hipervínculo visitado" xfId="828" builtinId="9" hidden="1"/>
    <cellStyle name="Hipervínculo visitado" xfId="830" builtinId="9" hidden="1"/>
    <cellStyle name="Hipervínculo visitado" xfId="832" builtinId="9" hidden="1"/>
    <cellStyle name="Hipervínculo visitado" xfId="834" builtinId="9" hidden="1"/>
    <cellStyle name="Hipervínculo visitado" xfId="836" builtinId="9" hidden="1"/>
    <cellStyle name="Hipervínculo visitado" xfId="838" builtinId="9" hidden="1"/>
    <cellStyle name="Hipervínculo visitado" xfId="840" builtinId="9" hidden="1"/>
    <cellStyle name="Hipervínculo visitado" xfId="842" builtinId="9" hidden="1"/>
    <cellStyle name="Hipervínculo visitado" xfId="844" builtinId="9" hidden="1"/>
    <cellStyle name="Hipervínculo visitado" xfId="846" builtinId="9" hidden="1"/>
    <cellStyle name="Hipervínculo visitado" xfId="848" builtinId="9" hidden="1"/>
    <cellStyle name="Hipervínculo visitado" xfId="850" builtinId="9" hidden="1"/>
    <cellStyle name="Hipervínculo visitado" xfId="852" builtinId="9" hidden="1"/>
    <cellStyle name="Hipervínculo visitado" xfId="854" builtinId="9" hidden="1"/>
    <cellStyle name="Hipervínculo visitado" xfId="856" builtinId="9" hidden="1"/>
    <cellStyle name="Hipervínculo visitado" xfId="858" builtinId="9" hidden="1"/>
    <cellStyle name="Hipervínculo visitado" xfId="860" builtinId="9" hidden="1"/>
    <cellStyle name="Hipervínculo visitado" xfId="862" builtinId="9" hidden="1"/>
    <cellStyle name="Hipervínculo visitado" xfId="864" builtinId="9" hidden="1"/>
    <cellStyle name="Hipervínculo visitado" xfId="866" builtinId="9" hidden="1"/>
    <cellStyle name="Hipervínculo visitado" xfId="868" builtinId="9" hidden="1"/>
    <cellStyle name="Hipervínculo visitado" xfId="870" builtinId="9" hidden="1"/>
    <cellStyle name="Hipervínculo visitado" xfId="872" builtinId="9" hidden="1"/>
    <cellStyle name="Hipervínculo visitado" xfId="874" builtinId="9" hidden="1"/>
    <cellStyle name="Hipervínculo visitado" xfId="876" builtinId="9" hidden="1"/>
    <cellStyle name="Hipervínculo visitado" xfId="878" builtinId="9" hidden="1"/>
    <cellStyle name="Hipervínculo visitado" xfId="880" builtinId="9" hidden="1"/>
    <cellStyle name="Hipervínculo visitado" xfId="882" builtinId="9" hidden="1"/>
    <cellStyle name="Hipervínculo visitado" xfId="884" builtinId="9" hidden="1"/>
    <cellStyle name="Hipervínculo visitado" xfId="886" builtinId="9" hidden="1"/>
    <cellStyle name="Hipervínculo visitado" xfId="888" builtinId="9" hidden="1"/>
    <cellStyle name="Hipervínculo visitado" xfId="890" builtinId="9" hidden="1"/>
    <cellStyle name="Hipervínculo visitado" xfId="892" builtinId="9" hidden="1"/>
    <cellStyle name="Hipervínculo visitado" xfId="894" builtinId="9" hidden="1"/>
    <cellStyle name="Hipervínculo visitado" xfId="896" builtinId="9" hidden="1"/>
    <cellStyle name="Hipervínculo visitado" xfId="898" builtinId="9" hidden="1"/>
    <cellStyle name="Hipervínculo visitado" xfId="900" builtinId="9" hidden="1"/>
    <cellStyle name="Hipervínculo visitado" xfId="902" builtinId="9" hidden="1"/>
    <cellStyle name="Hipervínculo visitado" xfId="904" builtinId="9" hidden="1"/>
    <cellStyle name="Hipervínculo visitado" xfId="906" builtinId="9" hidden="1"/>
    <cellStyle name="Hipervínculo visitado" xfId="908" builtinId="9" hidden="1"/>
    <cellStyle name="Hipervínculo visitado" xfId="910" builtinId="9" hidden="1"/>
    <cellStyle name="Hipervínculo visitado" xfId="912" builtinId="9" hidden="1"/>
    <cellStyle name="Hipervínculo visitado" xfId="914" builtinId="9" hidden="1"/>
    <cellStyle name="Hipervínculo visitado" xfId="916" builtinId="9" hidden="1"/>
    <cellStyle name="Hipervínculo visitado" xfId="918" builtinId="9" hidden="1"/>
    <cellStyle name="Hipervínculo visitado" xfId="920" builtinId="9" hidden="1"/>
    <cellStyle name="Hipervínculo visitado" xfId="922" builtinId="9" hidden="1"/>
    <cellStyle name="Hipervínculo visitado" xfId="924" builtinId="9" hidden="1"/>
    <cellStyle name="Hipervínculo visitado" xfId="926" builtinId="9" hidden="1"/>
    <cellStyle name="Hipervínculo visitado" xfId="928" builtinId="9" hidden="1"/>
    <cellStyle name="Hipervínculo visitado" xfId="930" builtinId="9" hidden="1"/>
    <cellStyle name="Hipervínculo visitado" xfId="932" builtinId="9" hidden="1"/>
    <cellStyle name="Hipervínculo visitado" xfId="934" builtinId="9" hidden="1"/>
    <cellStyle name="Hipervínculo visitado" xfId="936" builtinId="9" hidden="1"/>
    <cellStyle name="Hipervínculo visitado" xfId="938" builtinId="9" hidden="1"/>
    <cellStyle name="Hipervínculo visitado" xfId="940" builtinId="9" hidden="1"/>
    <cellStyle name="Hipervínculo visitado" xfId="942" builtinId="9" hidden="1"/>
    <cellStyle name="Hipervínculo visitado" xfId="944" builtinId="9" hidden="1"/>
    <cellStyle name="Hipervínculo visitado" xfId="946" builtinId="9" hidden="1"/>
    <cellStyle name="Hipervínculo visitado" xfId="948" builtinId="9" hidden="1"/>
    <cellStyle name="Hipervínculo visitado" xfId="950" builtinId="9" hidden="1"/>
    <cellStyle name="Hipervínculo visitado" xfId="952" builtinId="9" hidden="1"/>
    <cellStyle name="Hipervínculo visitado" xfId="954" builtinId="9" hidden="1"/>
    <cellStyle name="Hipervínculo visitado" xfId="956" builtinId="9" hidden="1"/>
    <cellStyle name="Hipervínculo visitado" xfId="958" builtinId="9" hidden="1"/>
    <cellStyle name="Hipervínculo visitado" xfId="960" builtinId="9" hidden="1"/>
    <cellStyle name="Hipervínculo visitado" xfId="962" builtinId="9" hidden="1"/>
    <cellStyle name="Hipervínculo visitado" xfId="964" builtinId="9" hidden="1"/>
    <cellStyle name="Hipervínculo visitado" xfId="966" builtinId="9" hidden="1"/>
    <cellStyle name="Hipervínculo visitado" xfId="968" builtinId="9" hidden="1"/>
    <cellStyle name="Hipervínculo visitado" xfId="970" builtinId="9" hidden="1"/>
    <cellStyle name="Hipervínculo visitado" xfId="972" builtinId="9" hidden="1"/>
    <cellStyle name="Hipervínculo visitado" xfId="974" builtinId="9" hidden="1"/>
    <cellStyle name="Hipervínculo visitado" xfId="976" builtinId="9" hidden="1"/>
    <cellStyle name="Hipervínculo visitado" xfId="978" builtinId="9" hidden="1"/>
    <cellStyle name="Hipervínculo visitado" xfId="980" builtinId="9" hidden="1"/>
    <cellStyle name="Hipervínculo visitado" xfId="982" builtinId="9" hidden="1"/>
    <cellStyle name="Hipervínculo visitado" xfId="984" builtinId="9" hidden="1"/>
    <cellStyle name="Hipervínculo visitado" xfId="986" builtinId="9" hidden="1"/>
    <cellStyle name="Hipervínculo visitado" xfId="988" builtinId="9" hidden="1"/>
    <cellStyle name="Hipervínculo visitado" xfId="990" builtinId="9" hidden="1"/>
    <cellStyle name="Hipervínculo visitado" xfId="992" builtinId="9" hidden="1"/>
    <cellStyle name="Hipervínculo visitado" xfId="994" builtinId="9" hidden="1"/>
    <cellStyle name="Hipervínculo visitado" xfId="996" builtinId="9" hidden="1"/>
    <cellStyle name="Hipervínculo visitado" xfId="998" builtinId="9" hidden="1"/>
    <cellStyle name="Hipervínculo visitado" xfId="1000" builtinId="9" hidden="1"/>
    <cellStyle name="Hipervínculo visitado" xfId="1002" builtinId="9" hidden="1"/>
    <cellStyle name="Hipervínculo visitado" xfId="1004" builtinId="9" hidden="1"/>
    <cellStyle name="Hipervínculo visitado" xfId="1006" builtinId="9" hidden="1"/>
    <cellStyle name="Hipervínculo visitado" xfId="1008" builtinId="9" hidden="1"/>
    <cellStyle name="Hipervínculo visitado" xfId="1010" builtinId="9" hidden="1"/>
    <cellStyle name="Hipervínculo visitado" xfId="1012" builtinId="9" hidden="1"/>
    <cellStyle name="Hipervínculo visitado" xfId="1014" builtinId="9" hidden="1"/>
    <cellStyle name="Hipervínculo visitado" xfId="1016" builtinId="9" hidden="1"/>
    <cellStyle name="Hipervínculo visitado" xfId="1018" builtinId="9" hidden="1"/>
    <cellStyle name="Hipervínculo visitado" xfId="1020" builtinId="9" hidden="1"/>
    <cellStyle name="Hipervínculo visitado" xfId="1022" builtinId="9" hidden="1"/>
    <cellStyle name="Hipervínculo visitado" xfId="1024" builtinId="9" hidden="1"/>
    <cellStyle name="Hipervínculo visitado" xfId="1026" builtinId="9" hidden="1"/>
    <cellStyle name="Hipervínculo visitado" xfId="1028" builtinId="9" hidden="1"/>
    <cellStyle name="Hipervínculo visitado" xfId="1030" builtinId="9" hidden="1"/>
    <cellStyle name="Hipervínculo visitado" xfId="1032" builtinId="9" hidden="1"/>
    <cellStyle name="Hipervínculo visitado" xfId="1034" builtinId="9" hidden="1"/>
    <cellStyle name="Hipervínculo visitado" xfId="1036" builtinId="9" hidden="1"/>
    <cellStyle name="Hipervínculo visitado" xfId="1038" builtinId="9" hidden="1"/>
    <cellStyle name="Hipervínculo visitado" xfId="1040" builtinId="9" hidden="1"/>
    <cellStyle name="Hipervínculo visitado" xfId="1042" builtinId="9" hidden="1"/>
    <cellStyle name="Hipervínculo visitado" xfId="1044" builtinId="9" hidden="1"/>
    <cellStyle name="Hipervínculo visitado" xfId="1046" builtinId="9" hidden="1"/>
    <cellStyle name="Hipervínculo visitado" xfId="1048" builtinId="9" hidden="1"/>
    <cellStyle name="Hipervínculo visitado" xfId="1050" builtinId="9" hidden="1"/>
    <cellStyle name="Hipervínculo visitado" xfId="1052" builtinId="9" hidden="1"/>
    <cellStyle name="Hipervínculo visitado" xfId="1054" builtinId="9" hidden="1"/>
    <cellStyle name="Hipervínculo visitado" xfId="1056" builtinId="9" hidden="1"/>
    <cellStyle name="Hipervínculo visitado" xfId="1058" builtinId="9" hidden="1"/>
    <cellStyle name="Hipervínculo visitado" xfId="1060" builtinId="9" hidden="1"/>
    <cellStyle name="Hipervínculo visitado" xfId="1062" builtinId="9" hidden="1"/>
    <cellStyle name="Hipervínculo visitado" xfId="1064" builtinId="9" hidden="1"/>
    <cellStyle name="Hipervínculo visitado" xfId="1066" builtinId="9" hidden="1"/>
    <cellStyle name="Hipervínculo visitado" xfId="1068" builtinId="9" hidden="1"/>
    <cellStyle name="Hipervínculo visitado" xfId="1070" builtinId="9" hidden="1"/>
    <cellStyle name="Hipervínculo visitado" xfId="1072" builtinId="9" hidden="1"/>
    <cellStyle name="Hipervínculo visitado" xfId="1074" builtinId="9" hidden="1"/>
    <cellStyle name="Hipervínculo visitado" xfId="1076" builtinId="9" hidden="1"/>
    <cellStyle name="Hipervínculo visitado" xfId="1078" builtinId="9" hidden="1"/>
    <cellStyle name="Hipervínculo visitado" xfId="1080" builtinId="9" hidden="1"/>
    <cellStyle name="Hipervínculo visitado" xfId="1082" builtinId="9" hidden="1"/>
    <cellStyle name="Hipervínculo visitado" xfId="1084" builtinId="9" hidden="1"/>
    <cellStyle name="Hipervínculo visitado" xfId="1086" builtinId="9" hidden="1"/>
    <cellStyle name="Hipervínculo visitado" xfId="1088" builtinId="9" hidden="1"/>
    <cellStyle name="Hipervínculo visitado" xfId="1090" builtinId="9" hidden="1"/>
    <cellStyle name="Hipervínculo visitado" xfId="1092" builtinId="9" hidden="1"/>
    <cellStyle name="Hipervínculo visitado" xfId="1094" builtinId="9" hidden="1"/>
    <cellStyle name="Hipervínculo visitado" xfId="1096" builtinId="9" hidden="1"/>
    <cellStyle name="Hipervínculo visitado" xfId="1098" builtinId="9" hidden="1"/>
    <cellStyle name="Hipervínculo visitado" xfId="1100" builtinId="9" hidden="1"/>
    <cellStyle name="Hipervínculo visitado" xfId="1102" builtinId="9" hidden="1"/>
    <cellStyle name="Hipervínculo visitado" xfId="1104" builtinId="9" hidden="1"/>
    <cellStyle name="Hipervínculo visitado" xfId="1106" builtinId="9" hidden="1"/>
    <cellStyle name="Hipervínculo visitado" xfId="1108" builtinId="9" hidden="1"/>
    <cellStyle name="Hipervínculo visitado" xfId="1110" builtinId="9" hidden="1"/>
    <cellStyle name="Hipervínculo visitado" xfId="1112" builtinId="9" hidden="1"/>
    <cellStyle name="Hipervínculo visitado" xfId="1114" builtinId="9" hidden="1"/>
    <cellStyle name="Hipervínculo visitado" xfId="1116" builtinId="9" hidden="1"/>
    <cellStyle name="Hipervínculo visitado" xfId="1118" builtinId="9" hidden="1"/>
    <cellStyle name="Hipervínculo visitado" xfId="1120" builtinId="9" hidden="1"/>
    <cellStyle name="Hipervínculo visitado" xfId="1122" builtinId="9" hidden="1"/>
    <cellStyle name="Hipervínculo visitado" xfId="1124" builtinId="9" hidden="1"/>
    <cellStyle name="Hipervínculo visitado" xfId="1126" builtinId="9" hidden="1"/>
    <cellStyle name="Hipervínculo visitado" xfId="1128" builtinId="9" hidden="1"/>
    <cellStyle name="Hipervínculo visitado" xfId="1130" builtinId="9" hidden="1"/>
    <cellStyle name="Hipervínculo visitado" xfId="1132" builtinId="9" hidden="1"/>
    <cellStyle name="Hipervínculo visitado" xfId="1134" builtinId="9" hidden="1"/>
    <cellStyle name="Hipervínculo visitado" xfId="1136" builtinId="9" hidden="1"/>
    <cellStyle name="Hipervínculo visitado" xfId="1138" builtinId="9" hidden="1"/>
    <cellStyle name="Hipervínculo visitado" xfId="1140" builtinId="9" hidden="1"/>
    <cellStyle name="Hipervínculo visitado" xfId="1142" builtinId="9" hidden="1"/>
    <cellStyle name="Hipervínculo visitado" xfId="1144" builtinId="9" hidden="1"/>
    <cellStyle name="Hipervínculo visitado" xfId="1146" builtinId="9" hidden="1"/>
    <cellStyle name="Hipervínculo visitado" xfId="1148" builtinId="9" hidden="1"/>
    <cellStyle name="Hipervínculo visitado" xfId="1150" builtinId="9" hidden="1"/>
    <cellStyle name="Hipervínculo visitado" xfId="1152" builtinId="9" hidden="1"/>
    <cellStyle name="Hipervínculo visitado" xfId="1154" builtinId="9" hidden="1"/>
    <cellStyle name="Hipervínculo visitado" xfId="1156" builtinId="9" hidden="1"/>
    <cellStyle name="Hipervínculo visitado" xfId="1158" builtinId="9" hidden="1"/>
    <cellStyle name="Hipervínculo visitado" xfId="1160" builtinId="9" hidden="1"/>
    <cellStyle name="Hipervínculo visitado" xfId="1162" builtinId="9" hidden="1"/>
    <cellStyle name="Hipervínculo visitado" xfId="1164" builtinId="9" hidden="1"/>
    <cellStyle name="Hipervínculo visitado" xfId="1166" builtinId="9" hidden="1"/>
    <cellStyle name="Hipervínculo visitado" xfId="1168" builtinId="9" hidden="1"/>
    <cellStyle name="Hipervínculo visitado 10" xfId="1254" xr:uid="{00000000-0005-0000-0000-0000E6040000}"/>
    <cellStyle name="Hipervínculo visitado 100" xfId="1255" xr:uid="{00000000-0005-0000-0000-0000E7040000}"/>
    <cellStyle name="Hipervínculo visitado 101" xfId="1256" xr:uid="{00000000-0005-0000-0000-0000E8040000}"/>
    <cellStyle name="Hipervínculo visitado 102" xfId="1257" xr:uid="{00000000-0005-0000-0000-0000E9040000}"/>
    <cellStyle name="Hipervínculo visitado 103" xfId="1258" xr:uid="{00000000-0005-0000-0000-0000EA040000}"/>
    <cellStyle name="Hipervínculo visitado 104" xfId="1259" xr:uid="{00000000-0005-0000-0000-0000EB040000}"/>
    <cellStyle name="Hipervínculo visitado 105" xfId="1260" xr:uid="{00000000-0005-0000-0000-0000EC040000}"/>
    <cellStyle name="Hipervínculo visitado 106" xfId="1261" xr:uid="{00000000-0005-0000-0000-0000ED040000}"/>
    <cellStyle name="Hipervínculo visitado 107" xfId="1262" xr:uid="{00000000-0005-0000-0000-0000EE040000}"/>
    <cellStyle name="Hipervínculo visitado 108" xfId="1263" xr:uid="{00000000-0005-0000-0000-0000EF040000}"/>
    <cellStyle name="Hipervínculo visitado 109" xfId="1264" xr:uid="{00000000-0005-0000-0000-0000F0040000}"/>
    <cellStyle name="Hipervínculo visitado 11" xfId="1265" xr:uid="{00000000-0005-0000-0000-0000F1040000}"/>
    <cellStyle name="Hipervínculo visitado 110" xfId="1266" xr:uid="{00000000-0005-0000-0000-0000F2040000}"/>
    <cellStyle name="Hipervínculo visitado 111" xfId="1267" xr:uid="{00000000-0005-0000-0000-0000F3040000}"/>
    <cellStyle name="Hipervínculo visitado 112" xfId="1268" xr:uid="{00000000-0005-0000-0000-0000F4040000}"/>
    <cellStyle name="Hipervínculo visitado 113" xfId="1269" xr:uid="{00000000-0005-0000-0000-0000F5040000}"/>
    <cellStyle name="Hipervínculo visitado 114" xfId="1270" xr:uid="{00000000-0005-0000-0000-0000F6040000}"/>
    <cellStyle name="Hipervínculo visitado 115" xfId="1271" xr:uid="{00000000-0005-0000-0000-0000F7040000}"/>
    <cellStyle name="Hipervínculo visitado 116" xfId="1272" xr:uid="{00000000-0005-0000-0000-0000F8040000}"/>
    <cellStyle name="Hipervínculo visitado 117" xfId="1273" xr:uid="{00000000-0005-0000-0000-0000F9040000}"/>
    <cellStyle name="Hipervínculo visitado 118" xfId="1274" xr:uid="{00000000-0005-0000-0000-0000FA040000}"/>
    <cellStyle name="Hipervínculo visitado 119" xfId="1275" xr:uid="{00000000-0005-0000-0000-0000FB040000}"/>
    <cellStyle name="Hipervínculo visitado 12" xfId="1276" xr:uid="{00000000-0005-0000-0000-0000FC040000}"/>
    <cellStyle name="Hipervínculo visitado 120" xfId="1277" xr:uid="{00000000-0005-0000-0000-0000FD040000}"/>
    <cellStyle name="Hipervínculo visitado 121" xfId="1278" xr:uid="{00000000-0005-0000-0000-0000FE040000}"/>
    <cellStyle name="Hipervínculo visitado 122" xfId="1279" xr:uid="{00000000-0005-0000-0000-0000FF040000}"/>
    <cellStyle name="Hipervínculo visitado 123" xfId="1280" xr:uid="{00000000-0005-0000-0000-000000050000}"/>
    <cellStyle name="Hipervínculo visitado 124" xfId="1281" xr:uid="{00000000-0005-0000-0000-000001050000}"/>
    <cellStyle name="Hipervínculo visitado 125" xfId="1282" xr:uid="{00000000-0005-0000-0000-000002050000}"/>
    <cellStyle name="Hipervínculo visitado 126" xfId="1283" xr:uid="{00000000-0005-0000-0000-000003050000}"/>
    <cellStyle name="Hipervínculo visitado 127" xfId="1284" xr:uid="{00000000-0005-0000-0000-000004050000}"/>
    <cellStyle name="Hipervínculo visitado 128" xfId="1285" xr:uid="{00000000-0005-0000-0000-000005050000}"/>
    <cellStyle name="Hipervínculo visitado 129" xfId="1286" xr:uid="{00000000-0005-0000-0000-000006050000}"/>
    <cellStyle name="Hipervínculo visitado 13" xfId="1287" xr:uid="{00000000-0005-0000-0000-000007050000}"/>
    <cellStyle name="Hipervínculo visitado 130" xfId="1288" xr:uid="{00000000-0005-0000-0000-000008050000}"/>
    <cellStyle name="Hipervínculo visitado 131" xfId="1289" xr:uid="{00000000-0005-0000-0000-000009050000}"/>
    <cellStyle name="Hipervínculo visitado 132" xfId="1290" xr:uid="{00000000-0005-0000-0000-00000A050000}"/>
    <cellStyle name="Hipervínculo visitado 133" xfId="1291" xr:uid="{00000000-0005-0000-0000-00000B050000}"/>
    <cellStyle name="Hipervínculo visitado 134" xfId="1292" xr:uid="{00000000-0005-0000-0000-00000C050000}"/>
    <cellStyle name="Hipervínculo visitado 135" xfId="1293" xr:uid="{00000000-0005-0000-0000-00000D050000}"/>
    <cellStyle name="Hipervínculo visitado 136" xfId="1294" xr:uid="{00000000-0005-0000-0000-00000E050000}"/>
    <cellStyle name="Hipervínculo visitado 137" xfId="1295" xr:uid="{00000000-0005-0000-0000-00000F050000}"/>
    <cellStyle name="Hipervínculo visitado 138" xfId="1296" xr:uid="{00000000-0005-0000-0000-000010050000}"/>
    <cellStyle name="Hipervínculo visitado 139" xfId="1297" xr:uid="{00000000-0005-0000-0000-000011050000}"/>
    <cellStyle name="Hipervínculo visitado 14" xfId="1298" xr:uid="{00000000-0005-0000-0000-000012050000}"/>
    <cellStyle name="Hipervínculo visitado 140" xfId="1299" xr:uid="{00000000-0005-0000-0000-000013050000}"/>
    <cellStyle name="Hipervínculo visitado 141" xfId="1300" xr:uid="{00000000-0005-0000-0000-000014050000}"/>
    <cellStyle name="Hipervínculo visitado 142" xfId="1301" xr:uid="{00000000-0005-0000-0000-000015050000}"/>
    <cellStyle name="Hipervínculo visitado 143" xfId="1302" xr:uid="{00000000-0005-0000-0000-000016050000}"/>
    <cellStyle name="Hipervínculo visitado 144" xfId="1303" xr:uid="{00000000-0005-0000-0000-000017050000}"/>
    <cellStyle name="Hipervínculo visitado 145" xfId="1304" xr:uid="{00000000-0005-0000-0000-000018050000}"/>
    <cellStyle name="Hipervínculo visitado 146" xfId="1305" xr:uid="{00000000-0005-0000-0000-000019050000}"/>
    <cellStyle name="Hipervínculo visitado 147" xfId="1306" xr:uid="{00000000-0005-0000-0000-00001A050000}"/>
    <cellStyle name="Hipervínculo visitado 148" xfId="1307" xr:uid="{00000000-0005-0000-0000-00001B050000}"/>
    <cellStyle name="Hipervínculo visitado 149" xfId="1308" xr:uid="{00000000-0005-0000-0000-00001C050000}"/>
    <cellStyle name="Hipervínculo visitado 15" xfId="1309" xr:uid="{00000000-0005-0000-0000-00001D050000}"/>
    <cellStyle name="Hipervínculo visitado 150" xfId="1310" xr:uid="{00000000-0005-0000-0000-00001E050000}"/>
    <cellStyle name="Hipervínculo visitado 151" xfId="1311" xr:uid="{00000000-0005-0000-0000-00001F050000}"/>
    <cellStyle name="Hipervínculo visitado 152" xfId="1312" xr:uid="{00000000-0005-0000-0000-000020050000}"/>
    <cellStyle name="Hipervínculo visitado 153" xfId="1313" xr:uid="{00000000-0005-0000-0000-000021050000}"/>
    <cellStyle name="Hipervínculo visitado 154" xfId="1314" xr:uid="{00000000-0005-0000-0000-000022050000}"/>
    <cellStyle name="Hipervínculo visitado 155" xfId="1315" xr:uid="{00000000-0005-0000-0000-000023050000}"/>
    <cellStyle name="Hipervínculo visitado 156" xfId="1316" xr:uid="{00000000-0005-0000-0000-000024050000}"/>
    <cellStyle name="Hipervínculo visitado 157" xfId="1317" xr:uid="{00000000-0005-0000-0000-000025050000}"/>
    <cellStyle name="Hipervínculo visitado 158" xfId="1318" xr:uid="{00000000-0005-0000-0000-000026050000}"/>
    <cellStyle name="Hipervínculo visitado 159" xfId="1319" xr:uid="{00000000-0005-0000-0000-000027050000}"/>
    <cellStyle name="Hipervínculo visitado 16" xfId="1320" xr:uid="{00000000-0005-0000-0000-000028050000}"/>
    <cellStyle name="Hipervínculo visitado 160" xfId="1321" xr:uid="{00000000-0005-0000-0000-000029050000}"/>
    <cellStyle name="Hipervínculo visitado 161" xfId="1322" xr:uid="{00000000-0005-0000-0000-00002A050000}"/>
    <cellStyle name="Hipervínculo visitado 162" xfId="1323" xr:uid="{00000000-0005-0000-0000-00002B050000}"/>
    <cellStyle name="Hipervínculo visitado 163" xfId="1324" xr:uid="{00000000-0005-0000-0000-00002C050000}"/>
    <cellStyle name="Hipervínculo visitado 164" xfId="1325" xr:uid="{00000000-0005-0000-0000-00002D050000}"/>
    <cellStyle name="Hipervínculo visitado 165" xfId="1326" xr:uid="{00000000-0005-0000-0000-00002E050000}"/>
    <cellStyle name="Hipervínculo visitado 166" xfId="1327" xr:uid="{00000000-0005-0000-0000-00002F050000}"/>
    <cellStyle name="Hipervínculo visitado 167" xfId="1328" xr:uid="{00000000-0005-0000-0000-000030050000}"/>
    <cellStyle name="Hipervínculo visitado 168" xfId="1329" xr:uid="{00000000-0005-0000-0000-000031050000}"/>
    <cellStyle name="Hipervínculo visitado 169" xfId="1330" xr:uid="{00000000-0005-0000-0000-000032050000}"/>
    <cellStyle name="Hipervínculo visitado 17" xfId="1331" xr:uid="{00000000-0005-0000-0000-000033050000}"/>
    <cellStyle name="Hipervínculo visitado 170" xfId="1332" xr:uid="{00000000-0005-0000-0000-000034050000}"/>
    <cellStyle name="Hipervínculo visitado 171" xfId="1333" xr:uid="{00000000-0005-0000-0000-000035050000}"/>
    <cellStyle name="Hipervínculo visitado 172" xfId="1334" xr:uid="{00000000-0005-0000-0000-000036050000}"/>
    <cellStyle name="Hipervínculo visitado 173" xfId="1335" xr:uid="{00000000-0005-0000-0000-000037050000}"/>
    <cellStyle name="Hipervínculo visitado 174" xfId="1336" xr:uid="{00000000-0005-0000-0000-000038050000}"/>
    <cellStyle name="Hipervínculo visitado 175" xfId="1337" xr:uid="{00000000-0005-0000-0000-000039050000}"/>
    <cellStyle name="Hipervínculo visitado 176" xfId="1338" xr:uid="{00000000-0005-0000-0000-00003A050000}"/>
    <cellStyle name="Hipervínculo visitado 177" xfId="1339" xr:uid="{00000000-0005-0000-0000-00003B050000}"/>
    <cellStyle name="Hipervínculo visitado 178" xfId="1340" xr:uid="{00000000-0005-0000-0000-00003C050000}"/>
    <cellStyle name="Hipervínculo visitado 179" xfId="1341" xr:uid="{00000000-0005-0000-0000-00003D050000}"/>
    <cellStyle name="Hipervínculo visitado 18" xfId="1342" xr:uid="{00000000-0005-0000-0000-00003E050000}"/>
    <cellStyle name="Hipervínculo visitado 180" xfId="1343" xr:uid="{00000000-0005-0000-0000-00003F050000}"/>
    <cellStyle name="Hipervínculo visitado 181" xfId="1344" xr:uid="{00000000-0005-0000-0000-000040050000}"/>
    <cellStyle name="Hipervínculo visitado 182" xfId="1345" xr:uid="{00000000-0005-0000-0000-000041050000}"/>
    <cellStyle name="Hipervínculo visitado 183" xfId="1346" xr:uid="{00000000-0005-0000-0000-000042050000}"/>
    <cellStyle name="Hipervínculo visitado 184" xfId="1347" xr:uid="{00000000-0005-0000-0000-000043050000}"/>
    <cellStyle name="Hipervínculo visitado 185" xfId="1348" xr:uid="{00000000-0005-0000-0000-000044050000}"/>
    <cellStyle name="Hipervínculo visitado 186" xfId="1349" xr:uid="{00000000-0005-0000-0000-000045050000}"/>
    <cellStyle name="Hipervínculo visitado 187" xfId="1350" xr:uid="{00000000-0005-0000-0000-000046050000}"/>
    <cellStyle name="Hipervínculo visitado 188" xfId="1351" xr:uid="{00000000-0005-0000-0000-000047050000}"/>
    <cellStyle name="Hipervínculo visitado 189" xfId="1352" xr:uid="{00000000-0005-0000-0000-000048050000}"/>
    <cellStyle name="Hipervínculo visitado 19" xfId="1353" xr:uid="{00000000-0005-0000-0000-000049050000}"/>
    <cellStyle name="Hipervínculo visitado 190" xfId="1354" xr:uid="{00000000-0005-0000-0000-00004A050000}"/>
    <cellStyle name="Hipervínculo visitado 191" xfId="1355" xr:uid="{00000000-0005-0000-0000-00004B050000}"/>
    <cellStyle name="Hipervínculo visitado 192" xfId="1356" xr:uid="{00000000-0005-0000-0000-00004C050000}"/>
    <cellStyle name="Hipervínculo visitado 193" xfId="1357" xr:uid="{00000000-0005-0000-0000-00004D050000}"/>
    <cellStyle name="Hipervínculo visitado 194" xfId="1358" xr:uid="{00000000-0005-0000-0000-00004E050000}"/>
    <cellStyle name="Hipervínculo visitado 195" xfId="1359" xr:uid="{00000000-0005-0000-0000-00004F050000}"/>
    <cellStyle name="Hipervínculo visitado 196" xfId="1360" xr:uid="{00000000-0005-0000-0000-000050050000}"/>
    <cellStyle name="Hipervínculo visitado 197" xfId="1361" xr:uid="{00000000-0005-0000-0000-000051050000}"/>
    <cellStyle name="Hipervínculo visitado 198" xfId="1362" xr:uid="{00000000-0005-0000-0000-000052050000}"/>
    <cellStyle name="Hipervínculo visitado 199" xfId="1363" xr:uid="{00000000-0005-0000-0000-000053050000}"/>
    <cellStyle name="Hipervínculo visitado 2" xfId="1364" xr:uid="{00000000-0005-0000-0000-000054050000}"/>
    <cellStyle name="Hipervínculo visitado 20" xfId="1365" xr:uid="{00000000-0005-0000-0000-000055050000}"/>
    <cellStyle name="Hipervínculo visitado 200" xfId="1366" xr:uid="{00000000-0005-0000-0000-000056050000}"/>
    <cellStyle name="Hipervínculo visitado 201" xfId="1367" xr:uid="{00000000-0005-0000-0000-000057050000}"/>
    <cellStyle name="Hipervínculo visitado 202" xfId="1368" xr:uid="{00000000-0005-0000-0000-000058050000}"/>
    <cellStyle name="Hipervínculo visitado 203" xfId="1369" xr:uid="{00000000-0005-0000-0000-000059050000}"/>
    <cellStyle name="Hipervínculo visitado 204" xfId="1370" xr:uid="{00000000-0005-0000-0000-00005A050000}"/>
    <cellStyle name="Hipervínculo visitado 205" xfId="1371" xr:uid="{00000000-0005-0000-0000-00005B050000}"/>
    <cellStyle name="Hipervínculo visitado 206" xfId="1372" xr:uid="{00000000-0005-0000-0000-00005C050000}"/>
    <cellStyle name="Hipervínculo visitado 207" xfId="1373" xr:uid="{00000000-0005-0000-0000-00005D050000}"/>
    <cellStyle name="Hipervínculo visitado 208" xfId="1374" xr:uid="{00000000-0005-0000-0000-00005E050000}"/>
    <cellStyle name="Hipervínculo visitado 209" xfId="1375" xr:uid="{00000000-0005-0000-0000-00005F050000}"/>
    <cellStyle name="Hipervínculo visitado 21" xfId="1376" xr:uid="{00000000-0005-0000-0000-000060050000}"/>
    <cellStyle name="Hipervínculo visitado 210" xfId="1377" xr:uid="{00000000-0005-0000-0000-000061050000}"/>
    <cellStyle name="Hipervínculo visitado 211" xfId="1378" xr:uid="{00000000-0005-0000-0000-000062050000}"/>
    <cellStyle name="Hipervínculo visitado 212" xfId="1379" xr:uid="{00000000-0005-0000-0000-000063050000}"/>
    <cellStyle name="Hipervínculo visitado 213" xfId="1380" xr:uid="{00000000-0005-0000-0000-000064050000}"/>
    <cellStyle name="Hipervínculo visitado 214" xfId="1381" xr:uid="{00000000-0005-0000-0000-000065050000}"/>
    <cellStyle name="Hipervínculo visitado 215" xfId="1382" xr:uid="{00000000-0005-0000-0000-000066050000}"/>
    <cellStyle name="Hipervínculo visitado 216" xfId="1383" xr:uid="{00000000-0005-0000-0000-000067050000}"/>
    <cellStyle name="Hipervínculo visitado 217" xfId="1384" xr:uid="{00000000-0005-0000-0000-000068050000}"/>
    <cellStyle name="Hipervínculo visitado 218" xfId="1385" xr:uid="{00000000-0005-0000-0000-000069050000}"/>
    <cellStyle name="Hipervínculo visitado 219" xfId="1386" xr:uid="{00000000-0005-0000-0000-00006A050000}"/>
    <cellStyle name="Hipervínculo visitado 22" xfId="1387" xr:uid="{00000000-0005-0000-0000-00006B050000}"/>
    <cellStyle name="Hipervínculo visitado 220" xfId="1388" xr:uid="{00000000-0005-0000-0000-00006C050000}"/>
    <cellStyle name="Hipervínculo visitado 221" xfId="1389" xr:uid="{00000000-0005-0000-0000-00006D050000}"/>
    <cellStyle name="Hipervínculo visitado 222" xfId="1390" xr:uid="{00000000-0005-0000-0000-00006E050000}"/>
    <cellStyle name="Hipervínculo visitado 223" xfId="1391" xr:uid="{00000000-0005-0000-0000-00006F050000}"/>
    <cellStyle name="Hipervínculo visitado 224" xfId="1392" xr:uid="{00000000-0005-0000-0000-000070050000}"/>
    <cellStyle name="Hipervínculo visitado 225" xfId="1393" xr:uid="{00000000-0005-0000-0000-000071050000}"/>
    <cellStyle name="Hipervínculo visitado 226" xfId="1394" xr:uid="{00000000-0005-0000-0000-000072050000}"/>
    <cellStyle name="Hipervínculo visitado 227" xfId="1395" xr:uid="{00000000-0005-0000-0000-000073050000}"/>
    <cellStyle name="Hipervínculo visitado 228" xfId="1396" xr:uid="{00000000-0005-0000-0000-000074050000}"/>
    <cellStyle name="Hipervínculo visitado 229" xfId="1397" xr:uid="{00000000-0005-0000-0000-000075050000}"/>
    <cellStyle name="Hipervínculo visitado 23" xfId="1398" xr:uid="{00000000-0005-0000-0000-000076050000}"/>
    <cellStyle name="Hipervínculo visitado 230" xfId="1399" xr:uid="{00000000-0005-0000-0000-000077050000}"/>
    <cellStyle name="Hipervínculo visitado 231" xfId="1400" xr:uid="{00000000-0005-0000-0000-000078050000}"/>
    <cellStyle name="Hipervínculo visitado 232" xfId="1401" xr:uid="{00000000-0005-0000-0000-000079050000}"/>
    <cellStyle name="Hipervínculo visitado 233" xfId="1402" xr:uid="{00000000-0005-0000-0000-00007A050000}"/>
    <cellStyle name="Hipervínculo visitado 234" xfId="1403" xr:uid="{00000000-0005-0000-0000-00007B050000}"/>
    <cellStyle name="Hipervínculo visitado 235" xfId="1404" xr:uid="{00000000-0005-0000-0000-00007C050000}"/>
    <cellStyle name="Hipervínculo visitado 236" xfId="1405" xr:uid="{00000000-0005-0000-0000-00007D050000}"/>
    <cellStyle name="Hipervínculo visitado 237" xfId="1406" xr:uid="{00000000-0005-0000-0000-00007E050000}"/>
    <cellStyle name="Hipervínculo visitado 238" xfId="1407" xr:uid="{00000000-0005-0000-0000-00007F050000}"/>
    <cellStyle name="Hipervínculo visitado 239" xfId="1408" xr:uid="{00000000-0005-0000-0000-000080050000}"/>
    <cellStyle name="Hipervínculo visitado 24" xfId="1409" xr:uid="{00000000-0005-0000-0000-000081050000}"/>
    <cellStyle name="Hipervínculo visitado 240" xfId="1410" xr:uid="{00000000-0005-0000-0000-000082050000}"/>
    <cellStyle name="Hipervínculo visitado 241" xfId="1411" xr:uid="{00000000-0005-0000-0000-000083050000}"/>
    <cellStyle name="Hipervínculo visitado 242" xfId="1412" xr:uid="{00000000-0005-0000-0000-000084050000}"/>
    <cellStyle name="Hipervínculo visitado 243" xfId="1413" xr:uid="{00000000-0005-0000-0000-000085050000}"/>
    <cellStyle name="Hipervínculo visitado 244" xfId="1414" xr:uid="{00000000-0005-0000-0000-000086050000}"/>
    <cellStyle name="Hipervínculo visitado 245" xfId="1415" xr:uid="{00000000-0005-0000-0000-000087050000}"/>
    <cellStyle name="Hipervínculo visitado 246" xfId="1416" xr:uid="{00000000-0005-0000-0000-000088050000}"/>
    <cellStyle name="Hipervínculo visitado 247" xfId="1417" xr:uid="{00000000-0005-0000-0000-000089050000}"/>
    <cellStyle name="Hipervínculo visitado 248" xfId="1418" xr:uid="{00000000-0005-0000-0000-00008A050000}"/>
    <cellStyle name="Hipervínculo visitado 249" xfId="1419" xr:uid="{00000000-0005-0000-0000-00008B050000}"/>
    <cellStyle name="Hipervínculo visitado 25" xfId="1420" xr:uid="{00000000-0005-0000-0000-00008C050000}"/>
    <cellStyle name="Hipervínculo visitado 250" xfId="1421" xr:uid="{00000000-0005-0000-0000-00008D050000}"/>
    <cellStyle name="Hipervínculo visitado 251" xfId="1422" xr:uid="{00000000-0005-0000-0000-00008E050000}"/>
    <cellStyle name="Hipervínculo visitado 252" xfId="1423" xr:uid="{00000000-0005-0000-0000-00008F050000}"/>
    <cellStyle name="Hipervínculo visitado 253" xfId="1424" xr:uid="{00000000-0005-0000-0000-000090050000}"/>
    <cellStyle name="Hipervínculo visitado 254" xfId="1425" xr:uid="{00000000-0005-0000-0000-000091050000}"/>
    <cellStyle name="Hipervínculo visitado 255" xfId="1426" xr:uid="{00000000-0005-0000-0000-000092050000}"/>
    <cellStyle name="Hipervínculo visitado 256" xfId="1427" xr:uid="{00000000-0005-0000-0000-000093050000}"/>
    <cellStyle name="Hipervínculo visitado 257" xfId="1428" xr:uid="{00000000-0005-0000-0000-000094050000}"/>
    <cellStyle name="Hipervínculo visitado 258" xfId="1429" xr:uid="{00000000-0005-0000-0000-000095050000}"/>
    <cellStyle name="Hipervínculo visitado 259" xfId="1430" xr:uid="{00000000-0005-0000-0000-000096050000}"/>
    <cellStyle name="Hipervínculo visitado 26" xfId="1431" xr:uid="{00000000-0005-0000-0000-000097050000}"/>
    <cellStyle name="Hipervínculo visitado 260" xfId="1432" xr:uid="{00000000-0005-0000-0000-000098050000}"/>
    <cellStyle name="Hipervínculo visitado 261" xfId="1433" xr:uid="{00000000-0005-0000-0000-000099050000}"/>
    <cellStyle name="Hipervínculo visitado 262" xfId="1434" xr:uid="{00000000-0005-0000-0000-00009A050000}"/>
    <cellStyle name="Hipervínculo visitado 263" xfId="1435" xr:uid="{00000000-0005-0000-0000-00009B050000}"/>
    <cellStyle name="Hipervínculo visitado 264" xfId="1436" xr:uid="{00000000-0005-0000-0000-00009C050000}"/>
    <cellStyle name="Hipervínculo visitado 265" xfId="1437" xr:uid="{00000000-0005-0000-0000-00009D050000}"/>
    <cellStyle name="Hipervínculo visitado 266" xfId="1438" xr:uid="{00000000-0005-0000-0000-00009E050000}"/>
    <cellStyle name="Hipervínculo visitado 267" xfId="1439" xr:uid="{00000000-0005-0000-0000-00009F050000}"/>
    <cellStyle name="Hipervínculo visitado 268" xfId="1440" xr:uid="{00000000-0005-0000-0000-0000A0050000}"/>
    <cellStyle name="Hipervínculo visitado 269" xfId="1441" xr:uid="{00000000-0005-0000-0000-0000A1050000}"/>
    <cellStyle name="Hipervínculo visitado 27" xfId="1442" xr:uid="{00000000-0005-0000-0000-0000A2050000}"/>
    <cellStyle name="Hipervínculo visitado 270" xfId="1443" xr:uid="{00000000-0005-0000-0000-0000A3050000}"/>
    <cellStyle name="Hipervínculo visitado 271" xfId="1444" xr:uid="{00000000-0005-0000-0000-0000A4050000}"/>
    <cellStyle name="Hipervínculo visitado 272" xfId="1445" xr:uid="{00000000-0005-0000-0000-0000A5050000}"/>
    <cellStyle name="Hipervínculo visitado 273" xfId="1446" xr:uid="{00000000-0005-0000-0000-0000A6050000}"/>
    <cellStyle name="Hipervínculo visitado 274" xfId="1447" xr:uid="{00000000-0005-0000-0000-0000A7050000}"/>
    <cellStyle name="Hipervínculo visitado 275" xfId="1448" xr:uid="{00000000-0005-0000-0000-0000A8050000}"/>
    <cellStyle name="Hipervínculo visitado 276" xfId="1449" xr:uid="{00000000-0005-0000-0000-0000A9050000}"/>
    <cellStyle name="Hipervínculo visitado 277" xfId="1450" xr:uid="{00000000-0005-0000-0000-0000AA050000}"/>
    <cellStyle name="Hipervínculo visitado 278" xfId="1451" xr:uid="{00000000-0005-0000-0000-0000AB050000}"/>
    <cellStyle name="Hipervínculo visitado 279" xfId="1452" xr:uid="{00000000-0005-0000-0000-0000AC050000}"/>
    <cellStyle name="Hipervínculo visitado 28" xfId="1453" xr:uid="{00000000-0005-0000-0000-0000AD050000}"/>
    <cellStyle name="Hipervínculo visitado 280" xfId="1454" xr:uid="{00000000-0005-0000-0000-0000AE050000}"/>
    <cellStyle name="Hipervínculo visitado 281" xfId="1455" xr:uid="{00000000-0005-0000-0000-0000AF050000}"/>
    <cellStyle name="Hipervínculo visitado 282" xfId="1456" xr:uid="{00000000-0005-0000-0000-0000B0050000}"/>
    <cellStyle name="Hipervínculo visitado 283" xfId="1457" xr:uid="{00000000-0005-0000-0000-0000B1050000}"/>
    <cellStyle name="Hipervínculo visitado 284" xfId="1458" xr:uid="{00000000-0005-0000-0000-0000B2050000}"/>
    <cellStyle name="Hipervínculo visitado 285" xfId="1459" xr:uid="{00000000-0005-0000-0000-0000B3050000}"/>
    <cellStyle name="Hipervínculo visitado 286" xfId="1460" xr:uid="{00000000-0005-0000-0000-0000B4050000}"/>
    <cellStyle name="Hipervínculo visitado 287" xfId="1461" xr:uid="{00000000-0005-0000-0000-0000B5050000}"/>
    <cellStyle name="Hipervínculo visitado 288" xfId="1462" xr:uid="{00000000-0005-0000-0000-0000B6050000}"/>
    <cellStyle name="Hipervínculo visitado 289" xfId="1463" xr:uid="{00000000-0005-0000-0000-0000B7050000}"/>
    <cellStyle name="Hipervínculo visitado 29" xfId="1464" xr:uid="{00000000-0005-0000-0000-0000B8050000}"/>
    <cellStyle name="Hipervínculo visitado 290" xfId="1465" xr:uid="{00000000-0005-0000-0000-0000B9050000}"/>
    <cellStyle name="Hipervínculo visitado 291" xfId="1466" xr:uid="{00000000-0005-0000-0000-0000BA050000}"/>
    <cellStyle name="Hipervínculo visitado 292" xfId="1467" xr:uid="{00000000-0005-0000-0000-0000BB050000}"/>
    <cellStyle name="Hipervínculo visitado 293" xfId="1468" xr:uid="{00000000-0005-0000-0000-0000BC050000}"/>
    <cellStyle name="Hipervínculo visitado 294" xfId="1469" xr:uid="{00000000-0005-0000-0000-0000BD050000}"/>
    <cellStyle name="Hipervínculo visitado 295" xfId="1470" xr:uid="{00000000-0005-0000-0000-0000BE050000}"/>
    <cellStyle name="Hipervínculo visitado 296" xfId="1471" xr:uid="{00000000-0005-0000-0000-0000BF050000}"/>
    <cellStyle name="Hipervínculo visitado 297" xfId="1472" xr:uid="{00000000-0005-0000-0000-0000C0050000}"/>
    <cellStyle name="Hipervínculo visitado 298" xfId="1473" xr:uid="{00000000-0005-0000-0000-0000C1050000}"/>
    <cellStyle name="Hipervínculo visitado 299" xfId="1474" xr:uid="{00000000-0005-0000-0000-0000C2050000}"/>
    <cellStyle name="Hipervínculo visitado 3" xfId="1475" xr:uid="{00000000-0005-0000-0000-0000C3050000}"/>
    <cellStyle name="Hipervínculo visitado 30" xfId="1476" xr:uid="{00000000-0005-0000-0000-0000C4050000}"/>
    <cellStyle name="Hipervínculo visitado 300" xfId="1477" xr:uid="{00000000-0005-0000-0000-0000C5050000}"/>
    <cellStyle name="Hipervínculo visitado 301" xfId="1478" xr:uid="{00000000-0005-0000-0000-0000C6050000}"/>
    <cellStyle name="Hipervínculo visitado 302" xfId="1479" xr:uid="{00000000-0005-0000-0000-0000C7050000}"/>
    <cellStyle name="Hipervínculo visitado 303" xfId="1480" xr:uid="{00000000-0005-0000-0000-0000C8050000}"/>
    <cellStyle name="Hipervínculo visitado 304" xfId="1481" xr:uid="{00000000-0005-0000-0000-0000C9050000}"/>
    <cellStyle name="Hipervínculo visitado 305" xfId="1482" xr:uid="{00000000-0005-0000-0000-0000CA050000}"/>
    <cellStyle name="Hipervínculo visitado 306" xfId="1483" xr:uid="{00000000-0005-0000-0000-0000CB050000}"/>
    <cellStyle name="Hipervínculo visitado 307" xfId="1484" xr:uid="{00000000-0005-0000-0000-0000CC050000}"/>
    <cellStyle name="Hipervínculo visitado 308" xfId="1485" xr:uid="{00000000-0005-0000-0000-0000CD050000}"/>
    <cellStyle name="Hipervínculo visitado 309" xfId="1486" xr:uid="{00000000-0005-0000-0000-0000CE050000}"/>
    <cellStyle name="Hipervínculo visitado 31" xfId="1487" xr:uid="{00000000-0005-0000-0000-0000CF050000}"/>
    <cellStyle name="Hipervínculo visitado 310" xfId="1488" xr:uid="{00000000-0005-0000-0000-0000D0050000}"/>
    <cellStyle name="Hipervínculo visitado 311" xfId="1489" xr:uid="{00000000-0005-0000-0000-0000D1050000}"/>
    <cellStyle name="Hipervínculo visitado 312" xfId="1490" xr:uid="{00000000-0005-0000-0000-0000D2050000}"/>
    <cellStyle name="Hipervínculo visitado 313" xfId="1491" xr:uid="{00000000-0005-0000-0000-0000D3050000}"/>
    <cellStyle name="Hipervínculo visitado 314" xfId="1492" xr:uid="{00000000-0005-0000-0000-0000D4050000}"/>
    <cellStyle name="Hipervínculo visitado 315" xfId="1493" xr:uid="{00000000-0005-0000-0000-0000D5050000}"/>
    <cellStyle name="Hipervínculo visitado 316" xfId="1494" xr:uid="{00000000-0005-0000-0000-0000D6050000}"/>
    <cellStyle name="Hipervínculo visitado 317" xfId="1495" xr:uid="{00000000-0005-0000-0000-0000D7050000}"/>
    <cellStyle name="Hipervínculo visitado 318" xfId="1496" xr:uid="{00000000-0005-0000-0000-0000D8050000}"/>
    <cellStyle name="Hipervínculo visitado 319" xfId="1497" xr:uid="{00000000-0005-0000-0000-0000D9050000}"/>
    <cellStyle name="Hipervínculo visitado 32" xfId="1498" xr:uid="{00000000-0005-0000-0000-0000DA050000}"/>
    <cellStyle name="Hipervínculo visitado 320" xfId="1499" xr:uid="{00000000-0005-0000-0000-0000DB050000}"/>
    <cellStyle name="Hipervínculo visitado 321" xfId="1500" xr:uid="{00000000-0005-0000-0000-0000DC050000}"/>
    <cellStyle name="Hipervínculo visitado 322" xfId="1501" xr:uid="{00000000-0005-0000-0000-0000DD050000}"/>
    <cellStyle name="Hipervínculo visitado 323" xfId="1502" xr:uid="{00000000-0005-0000-0000-0000DE050000}"/>
    <cellStyle name="Hipervínculo visitado 324" xfId="1503" xr:uid="{00000000-0005-0000-0000-0000DF050000}"/>
    <cellStyle name="Hipervínculo visitado 325" xfId="1504" xr:uid="{00000000-0005-0000-0000-0000E0050000}"/>
    <cellStyle name="Hipervínculo visitado 326" xfId="1505" xr:uid="{00000000-0005-0000-0000-0000E1050000}"/>
    <cellStyle name="Hipervínculo visitado 327" xfId="1506" xr:uid="{00000000-0005-0000-0000-0000E2050000}"/>
    <cellStyle name="Hipervínculo visitado 328" xfId="1507" xr:uid="{00000000-0005-0000-0000-0000E3050000}"/>
    <cellStyle name="Hipervínculo visitado 329" xfId="1508" xr:uid="{00000000-0005-0000-0000-0000E4050000}"/>
    <cellStyle name="Hipervínculo visitado 33" xfId="1509" xr:uid="{00000000-0005-0000-0000-0000E5050000}"/>
    <cellStyle name="Hipervínculo visitado 330" xfId="1510" xr:uid="{00000000-0005-0000-0000-0000E6050000}"/>
    <cellStyle name="Hipervínculo visitado 331" xfId="1511" xr:uid="{00000000-0005-0000-0000-0000E7050000}"/>
    <cellStyle name="Hipervínculo visitado 332" xfId="1512" xr:uid="{00000000-0005-0000-0000-0000E8050000}"/>
    <cellStyle name="Hipervínculo visitado 333" xfId="1513" xr:uid="{00000000-0005-0000-0000-0000E9050000}"/>
    <cellStyle name="Hipervínculo visitado 334" xfId="1514" xr:uid="{00000000-0005-0000-0000-0000EA050000}"/>
    <cellStyle name="Hipervínculo visitado 335" xfId="1515" xr:uid="{00000000-0005-0000-0000-0000EB050000}"/>
    <cellStyle name="Hipervínculo visitado 336" xfId="1516" xr:uid="{00000000-0005-0000-0000-0000EC050000}"/>
    <cellStyle name="Hipervínculo visitado 337" xfId="1517" xr:uid="{00000000-0005-0000-0000-0000ED050000}"/>
    <cellStyle name="Hipervínculo visitado 338" xfId="1518" xr:uid="{00000000-0005-0000-0000-0000EE050000}"/>
    <cellStyle name="Hipervínculo visitado 339" xfId="1519" xr:uid="{00000000-0005-0000-0000-0000EF050000}"/>
    <cellStyle name="Hipervínculo visitado 34" xfId="1520" xr:uid="{00000000-0005-0000-0000-0000F0050000}"/>
    <cellStyle name="Hipervínculo visitado 340" xfId="1521" xr:uid="{00000000-0005-0000-0000-0000F1050000}"/>
    <cellStyle name="Hipervínculo visitado 341" xfId="1522" xr:uid="{00000000-0005-0000-0000-0000F2050000}"/>
    <cellStyle name="Hipervínculo visitado 342" xfId="1523" xr:uid="{00000000-0005-0000-0000-0000F3050000}"/>
    <cellStyle name="Hipervínculo visitado 343" xfId="1524" xr:uid="{00000000-0005-0000-0000-0000F4050000}"/>
    <cellStyle name="Hipervínculo visitado 344" xfId="1525" xr:uid="{00000000-0005-0000-0000-0000F5050000}"/>
    <cellStyle name="Hipervínculo visitado 345" xfId="1526" xr:uid="{00000000-0005-0000-0000-0000F6050000}"/>
    <cellStyle name="Hipervínculo visitado 346" xfId="1527" xr:uid="{00000000-0005-0000-0000-0000F7050000}"/>
    <cellStyle name="Hipervínculo visitado 347" xfId="1528" xr:uid="{00000000-0005-0000-0000-0000F8050000}"/>
    <cellStyle name="Hipervínculo visitado 348" xfId="1529" xr:uid="{00000000-0005-0000-0000-0000F9050000}"/>
    <cellStyle name="Hipervínculo visitado 349" xfId="1530" xr:uid="{00000000-0005-0000-0000-0000FA050000}"/>
    <cellStyle name="Hipervínculo visitado 35" xfId="1531" xr:uid="{00000000-0005-0000-0000-0000FB050000}"/>
    <cellStyle name="Hipervínculo visitado 350" xfId="1532" xr:uid="{00000000-0005-0000-0000-0000FC050000}"/>
    <cellStyle name="Hipervínculo visitado 351" xfId="1533" xr:uid="{00000000-0005-0000-0000-0000FD050000}"/>
    <cellStyle name="Hipervínculo visitado 352" xfId="1534" xr:uid="{00000000-0005-0000-0000-0000FE050000}"/>
    <cellStyle name="Hipervínculo visitado 353" xfId="1535" xr:uid="{00000000-0005-0000-0000-0000FF050000}"/>
    <cellStyle name="Hipervínculo visitado 354" xfId="1536" xr:uid="{00000000-0005-0000-0000-000000060000}"/>
    <cellStyle name="Hipervínculo visitado 355" xfId="1537" xr:uid="{00000000-0005-0000-0000-000001060000}"/>
    <cellStyle name="Hipervínculo visitado 356" xfId="1538" xr:uid="{00000000-0005-0000-0000-000002060000}"/>
    <cellStyle name="Hipervínculo visitado 357" xfId="1539" xr:uid="{00000000-0005-0000-0000-000003060000}"/>
    <cellStyle name="Hipervínculo visitado 358" xfId="1540" xr:uid="{00000000-0005-0000-0000-000004060000}"/>
    <cellStyle name="Hipervínculo visitado 359" xfId="1541" xr:uid="{00000000-0005-0000-0000-000005060000}"/>
    <cellStyle name="Hipervínculo visitado 36" xfId="1542" xr:uid="{00000000-0005-0000-0000-000006060000}"/>
    <cellStyle name="Hipervínculo visitado 360" xfId="1543" xr:uid="{00000000-0005-0000-0000-000007060000}"/>
    <cellStyle name="Hipervínculo visitado 361" xfId="1544" xr:uid="{00000000-0005-0000-0000-000008060000}"/>
    <cellStyle name="Hipervínculo visitado 362" xfId="1545" xr:uid="{00000000-0005-0000-0000-000009060000}"/>
    <cellStyle name="Hipervínculo visitado 363" xfId="1546" xr:uid="{00000000-0005-0000-0000-00000A060000}"/>
    <cellStyle name="Hipervínculo visitado 364" xfId="1547" xr:uid="{00000000-0005-0000-0000-00000B060000}"/>
    <cellStyle name="Hipervínculo visitado 365" xfId="1548" xr:uid="{00000000-0005-0000-0000-00000C060000}"/>
    <cellStyle name="Hipervínculo visitado 366" xfId="1549" xr:uid="{00000000-0005-0000-0000-00000D060000}"/>
    <cellStyle name="Hipervínculo visitado 367" xfId="1550" xr:uid="{00000000-0005-0000-0000-00000E060000}"/>
    <cellStyle name="Hipervínculo visitado 368" xfId="1551" xr:uid="{00000000-0005-0000-0000-00000F060000}"/>
    <cellStyle name="Hipervínculo visitado 369" xfId="1552" xr:uid="{00000000-0005-0000-0000-000010060000}"/>
    <cellStyle name="Hipervínculo visitado 37" xfId="1553" xr:uid="{00000000-0005-0000-0000-000011060000}"/>
    <cellStyle name="Hipervínculo visitado 370" xfId="1554" xr:uid="{00000000-0005-0000-0000-000012060000}"/>
    <cellStyle name="Hipervínculo visitado 371" xfId="1555" xr:uid="{00000000-0005-0000-0000-000013060000}"/>
    <cellStyle name="Hipervínculo visitado 372" xfId="1556" xr:uid="{00000000-0005-0000-0000-000014060000}"/>
    <cellStyle name="Hipervínculo visitado 373" xfId="1557" xr:uid="{00000000-0005-0000-0000-000015060000}"/>
    <cellStyle name="Hipervínculo visitado 374" xfId="1558" xr:uid="{00000000-0005-0000-0000-000016060000}"/>
    <cellStyle name="Hipervínculo visitado 375" xfId="1559" xr:uid="{00000000-0005-0000-0000-000017060000}"/>
    <cellStyle name="Hipervínculo visitado 376" xfId="1560" xr:uid="{00000000-0005-0000-0000-000018060000}"/>
    <cellStyle name="Hipervínculo visitado 377" xfId="1561" xr:uid="{00000000-0005-0000-0000-000019060000}"/>
    <cellStyle name="Hipervínculo visitado 378" xfId="1562" xr:uid="{00000000-0005-0000-0000-00001A060000}"/>
    <cellStyle name="Hipervínculo visitado 379" xfId="1563" xr:uid="{00000000-0005-0000-0000-00001B060000}"/>
    <cellStyle name="Hipervínculo visitado 38" xfId="1564" xr:uid="{00000000-0005-0000-0000-00001C060000}"/>
    <cellStyle name="Hipervínculo visitado 380" xfId="1565" xr:uid="{00000000-0005-0000-0000-00001D060000}"/>
    <cellStyle name="Hipervínculo visitado 381" xfId="1566" xr:uid="{00000000-0005-0000-0000-00001E060000}"/>
    <cellStyle name="Hipervínculo visitado 382" xfId="1567" xr:uid="{00000000-0005-0000-0000-00001F060000}"/>
    <cellStyle name="Hipervínculo visitado 383" xfId="1568" xr:uid="{00000000-0005-0000-0000-000020060000}"/>
    <cellStyle name="Hipervínculo visitado 384" xfId="1569" xr:uid="{00000000-0005-0000-0000-000021060000}"/>
    <cellStyle name="Hipervínculo visitado 385" xfId="1570" xr:uid="{00000000-0005-0000-0000-000022060000}"/>
    <cellStyle name="Hipervínculo visitado 386" xfId="1571" xr:uid="{00000000-0005-0000-0000-000023060000}"/>
    <cellStyle name="Hipervínculo visitado 387" xfId="1572" xr:uid="{00000000-0005-0000-0000-000024060000}"/>
    <cellStyle name="Hipervínculo visitado 388" xfId="1573" xr:uid="{00000000-0005-0000-0000-000025060000}"/>
    <cellStyle name="Hipervínculo visitado 389" xfId="1574" xr:uid="{00000000-0005-0000-0000-000026060000}"/>
    <cellStyle name="Hipervínculo visitado 39" xfId="1575" xr:uid="{00000000-0005-0000-0000-000027060000}"/>
    <cellStyle name="Hipervínculo visitado 390" xfId="1576" xr:uid="{00000000-0005-0000-0000-000028060000}"/>
    <cellStyle name="Hipervínculo visitado 391" xfId="1577" xr:uid="{00000000-0005-0000-0000-000029060000}"/>
    <cellStyle name="Hipervínculo visitado 392" xfId="1578" xr:uid="{00000000-0005-0000-0000-00002A060000}"/>
    <cellStyle name="Hipervínculo visitado 393" xfId="1579" xr:uid="{00000000-0005-0000-0000-00002B060000}"/>
    <cellStyle name="Hipervínculo visitado 394" xfId="1580" xr:uid="{00000000-0005-0000-0000-00002C060000}"/>
    <cellStyle name="Hipervínculo visitado 395" xfId="1581" xr:uid="{00000000-0005-0000-0000-00002D060000}"/>
    <cellStyle name="Hipervínculo visitado 396" xfId="1582" xr:uid="{00000000-0005-0000-0000-00002E060000}"/>
    <cellStyle name="Hipervínculo visitado 397" xfId="1583" xr:uid="{00000000-0005-0000-0000-00002F060000}"/>
    <cellStyle name="Hipervínculo visitado 398" xfId="1584" xr:uid="{00000000-0005-0000-0000-000030060000}"/>
    <cellStyle name="Hipervínculo visitado 399" xfId="1585" xr:uid="{00000000-0005-0000-0000-000031060000}"/>
    <cellStyle name="Hipervínculo visitado 4" xfId="1586" xr:uid="{00000000-0005-0000-0000-000032060000}"/>
    <cellStyle name="Hipervínculo visitado 40" xfId="1587" xr:uid="{00000000-0005-0000-0000-000033060000}"/>
    <cellStyle name="Hipervínculo visitado 400" xfId="1588" xr:uid="{00000000-0005-0000-0000-000034060000}"/>
    <cellStyle name="Hipervínculo visitado 401" xfId="1589" xr:uid="{00000000-0005-0000-0000-000035060000}"/>
    <cellStyle name="Hipervínculo visitado 402" xfId="1590" xr:uid="{00000000-0005-0000-0000-000036060000}"/>
    <cellStyle name="Hipervínculo visitado 403" xfId="1591" xr:uid="{00000000-0005-0000-0000-000037060000}"/>
    <cellStyle name="Hipervínculo visitado 404" xfId="1592" xr:uid="{00000000-0005-0000-0000-000038060000}"/>
    <cellStyle name="Hipervínculo visitado 405" xfId="1593" xr:uid="{00000000-0005-0000-0000-000039060000}"/>
    <cellStyle name="Hipervínculo visitado 406" xfId="1594" xr:uid="{00000000-0005-0000-0000-00003A060000}"/>
    <cellStyle name="Hipervínculo visitado 407" xfId="1595" xr:uid="{00000000-0005-0000-0000-00003B060000}"/>
    <cellStyle name="Hipervínculo visitado 408" xfId="1596" xr:uid="{00000000-0005-0000-0000-00003C060000}"/>
    <cellStyle name="Hipervínculo visitado 409" xfId="1597" xr:uid="{00000000-0005-0000-0000-00003D060000}"/>
    <cellStyle name="Hipervínculo visitado 41" xfId="1598" xr:uid="{00000000-0005-0000-0000-00003E060000}"/>
    <cellStyle name="Hipervínculo visitado 410" xfId="1599" xr:uid="{00000000-0005-0000-0000-00003F060000}"/>
    <cellStyle name="Hipervínculo visitado 411" xfId="1600" xr:uid="{00000000-0005-0000-0000-000040060000}"/>
    <cellStyle name="Hipervínculo visitado 412" xfId="1601" xr:uid="{00000000-0005-0000-0000-000041060000}"/>
    <cellStyle name="Hipervínculo visitado 413" xfId="1602" xr:uid="{00000000-0005-0000-0000-000042060000}"/>
    <cellStyle name="Hipervínculo visitado 414" xfId="1603" xr:uid="{00000000-0005-0000-0000-000043060000}"/>
    <cellStyle name="Hipervínculo visitado 415" xfId="1604" xr:uid="{00000000-0005-0000-0000-000044060000}"/>
    <cellStyle name="Hipervínculo visitado 416" xfId="1605" xr:uid="{00000000-0005-0000-0000-000045060000}"/>
    <cellStyle name="Hipervínculo visitado 417" xfId="1606" xr:uid="{00000000-0005-0000-0000-000046060000}"/>
    <cellStyle name="Hipervínculo visitado 418" xfId="1607" xr:uid="{00000000-0005-0000-0000-000047060000}"/>
    <cellStyle name="Hipervínculo visitado 419" xfId="1608" xr:uid="{00000000-0005-0000-0000-000048060000}"/>
    <cellStyle name="Hipervínculo visitado 42" xfId="1609" xr:uid="{00000000-0005-0000-0000-000049060000}"/>
    <cellStyle name="Hipervínculo visitado 420" xfId="1610" xr:uid="{00000000-0005-0000-0000-00004A060000}"/>
    <cellStyle name="Hipervínculo visitado 421" xfId="1611" xr:uid="{00000000-0005-0000-0000-00004B060000}"/>
    <cellStyle name="Hipervínculo visitado 422" xfId="1612" xr:uid="{00000000-0005-0000-0000-00004C060000}"/>
    <cellStyle name="Hipervínculo visitado 423" xfId="1613" xr:uid="{00000000-0005-0000-0000-00004D060000}"/>
    <cellStyle name="Hipervínculo visitado 424" xfId="1614" xr:uid="{00000000-0005-0000-0000-00004E060000}"/>
    <cellStyle name="Hipervínculo visitado 425" xfId="1615" xr:uid="{00000000-0005-0000-0000-00004F060000}"/>
    <cellStyle name="Hipervínculo visitado 426" xfId="1616" xr:uid="{00000000-0005-0000-0000-000050060000}"/>
    <cellStyle name="Hipervínculo visitado 427" xfId="1617" xr:uid="{00000000-0005-0000-0000-000051060000}"/>
    <cellStyle name="Hipervínculo visitado 428" xfId="1618" xr:uid="{00000000-0005-0000-0000-000052060000}"/>
    <cellStyle name="Hipervínculo visitado 429" xfId="1619" xr:uid="{00000000-0005-0000-0000-000053060000}"/>
    <cellStyle name="Hipervínculo visitado 43" xfId="1620" xr:uid="{00000000-0005-0000-0000-000054060000}"/>
    <cellStyle name="Hipervínculo visitado 430" xfId="1621" xr:uid="{00000000-0005-0000-0000-000055060000}"/>
    <cellStyle name="Hipervínculo visitado 431" xfId="1622" xr:uid="{00000000-0005-0000-0000-000056060000}"/>
    <cellStyle name="Hipervínculo visitado 432" xfId="1623" xr:uid="{00000000-0005-0000-0000-000057060000}"/>
    <cellStyle name="Hipervínculo visitado 433" xfId="1624" xr:uid="{00000000-0005-0000-0000-000058060000}"/>
    <cellStyle name="Hipervínculo visitado 434" xfId="1625" xr:uid="{00000000-0005-0000-0000-000059060000}"/>
    <cellStyle name="Hipervínculo visitado 435" xfId="1626" xr:uid="{00000000-0005-0000-0000-00005A060000}"/>
    <cellStyle name="Hipervínculo visitado 436" xfId="1627" xr:uid="{00000000-0005-0000-0000-00005B060000}"/>
    <cellStyle name="Hipervínculo visitado 437" xfId="1628" xr:uid="{00000000-0005-0000-0000-00005C060000}"/>
    <cellStyle name="Hipervínculo visitado 438" xfId="1629" xr:uid="{00000000-0005-0000-0000-00005D060000}"/>
    <cellStyle name="Hipervínculo visitado 439" xfId="1630" xr:uid="{00000000-0005-0000-0000-00005E060000}"/>
    <cellStyle name="Hipervínculo visitado 44" xfId="1631" xr:uid="{00000000-0005-0000-0000-00005F060000}"/>
    <cellStyle name="Hipervínculo visitado 440" xfId="1632" xr:uid="{00000000-0005-0000-0000-000060060000}"/>
    <cellStyle name="Hipervínculo visitado 441" xfId="1633" xr:uid="{00000000-0005-0000-0000-000061060000}"/>
    <cellStyle name="Hipervínculo visitado 442" xfId="1634" xr:uid="{00000000-0005-0000-0000-000062060000}"/>
    <cellStyle name="Hipervínculo visitado 443" xfId="1635" xr:uid="{00000000-0005-0000-0000-000063060000}"/>
    <cellStyle name="Hipervínculo visitado 444" xfId="1636" xr:uid="{00000000-0005-0000-0000-000064060000}"/>
    <cellStyle name="Hipervínculo visitado 445" xfId="1637" xr:uid="{00000000-0005-0000-0000-000065060000}"/>
    <cellStyle name="Hipervínculo visitado 446" xfId="1638" xr:uid="{00000000-0005-0000-0000-000066060000}"/>
    <cellStyle name="Hipervínculo visitado 447" xfId="1639" xr:uid="{00000000-0005-0000-0000-000067060000}"/>
    <cellStyle name="Hipervínculo visitado 448" xfId="1640" xr:uid="{00000000-0005-0000-0000-000068060000}"/>
    <cellStyle name="Hipervínculo visitado 449" xfId="1641" xr:uid="{00000000-0005-0000-0000-000069060000}"/>
    <cellStyle name="Hipervínculo visitado 45" xfId="1642" xr:uid="{00000000-0005-0000-0000-00006A060000}"/>
    <cellStyle name="Hipervínculo visitado 450" xfId="1643" xr:uid="{00000000-0005-0000-0000-00006B060000}"/>
    <cellStyle name="Hipervínculo visitado 451" xfId="1644" xr:uid="{00000000-0005-0000-0000-00006C060000}"/>
    <cellStyle name="Hipervínculo visitado 452" xfId="1645" xr:uid="{00000000-0005-0000-0000-00006D060000}"/>
    <cellStyle name="Hipervínculo visitado 453" xfId="1646" xr:uid="{00000000-0005-0000-0000-00006E060000}"/>
    <cellStyle name="Hipervínculo visitado 454" xfId="1647" xr:uid="{00000000-0005-0000-0000-00006F060000}"/>
    <cellStyle name="Hipervínculo visitado 455" xfId="1648" xr:uid="{00000000-0005-0000-0000-000070060000}"/>
    <cellStyle name="Hipervínculo visitado 456" xfId="1649" xr:uid="{00000000-0005-0000-0000-000071060000}"/>
    <cellStyle name="Hipervínculo visitado 457" xfId="1650" xr:uid="{00000000-0005-0000-0000-000072060000}"/>
    <cellStyle name="Hipervínculo visitado 458" xfId="1651" xr:uid="{00000000-0005-0000-0000-000073060000}"/>
    <cellStyle name="Hipervínculo visitado 459" xfId="1652" xr:uid="{00000000-0005-0000-0000-000074060000}"/>
    <cellStyle name="Hipervínculo visitado 46" xfId="1653" xr:uid="{00000000-0005-0000-0000-000075060000}"/>
    <cellStyle name="Hipervínculo visitado 460" xfId="1654" xr:uid="{00000000-0005-0000-0000-000076060000}"/>
    <cellStyle name="Hipervínculo visitado 461" xfId="1655" xr:uid="{00000000-0005-0000-0000-000077060000}"/>
    <cellStyle name="Hipervínculo visitado 462" xfId="1656" xr:uid="{00000000-0005-0000-0000-000078060000}"/>
    <cellStyle name="Hipervínculo visitado 463" xfId="1657" xr:uid="{00000000-0005-0000-0000-000079060000}"/>
    <cellStyle name="Hipervínculo visitado 464" xfId="1658" xr:uid="{00000000-0005-0000-0000-00007A060000}"/>
    <cellStyle name="Hipervínculo visitado 465" xfId="1659" xr:uid="{00000000-0005-0000-0000-00007B060000}"/>
    <cellStyle name="Hipervínculo visitado 466" xfId="1660" xr:uid="{00000000-0005-0000-0000-00007C060000}"/>
    <cellStyle name="Hipervínculo visitado 467" xfId="1661" xr:uid="{00000000-0005-0000-0000-00007D060000}"/>
    <cellStyle name="Hipervínculo visitado 468" xfId="1662" xr:uid="{00000000-0005-0000-0000-00007E060000}"/>
    <cellStyle name="Hipervínculo visitado 469" xfId="1663" xr:uid="{00000000-0005-0000-0000-00007F060000}"/>
    <cellStyle name="Hipervínculo visitado 47" xfId="1664" xr:uid="{00000000-0005-0000-0000-000080060000}"/>
    <cellStyle name="Hipervínculo visitado 470" xfId="1665" xr:uid="{00000000-0005-0000-0000-000081060000}"/>
    <cellStyle name="Hipervínculo visitado 471" xfId="1666" xr:uid="{00000000-0005-0000-0000-000082060000}"/>
    <cellStyle name="Hipervínculo visitado 472" xfId="1667" xr:uid="{00000000-0005-0000-0000-000083060000}"/>
    <cellStyle name="Hipervínculo visitado 473" xfId="1668" xr:uid="{00000000-0005-0000-0000-000084060000}"/>
    <cellStyle name="Hipervínculo visitado 474" xfId="1669" xr:uid="{00000000-0005-0000-0000-000085060000}"/>
    <cellStyle name="Hipervínculo visitado 475" xfId="1670" xr:uid="{00000000-0005-0000-0000-000086060000}"/>
    <cellStyle name="Hipervínculo visitado 476" xfId="1671" xr:uid="{00000000-0005-0000-0000-000087060000}"/>
    <cellStyle name="Hipervínculo visitado 477" xfId="1672" xr:uid="{00000000-0005-0000-0000-000088060000}"/>
    <cellStyle name="Hipervínculo visitado 478" xfId="1673" xr:uid="{00000000-0005-0000-0000-000089060000}"/>
    <cellStyle name="Hipervínculo visitado 479" xfId="1674" xr:uid="{00000000-0005-0000-0000-00008A060000}"/>
    <cellStyle name="Hipervínculo visitado 48" xfId="1675" xr:uid="{00000000-0005-0000-0000-00008B060000}"/>
    <cellStyle name="Hipervínculo visitado 480" xfId="1676" xr:uid="{00000000-0005-0000-0000-00008C060000}"/>
    <cellStyle name="Hipervínculo visitado 481" xfId="1677" xr:uid="{00000000-0005-0000-0000-00008D060000}"/>
    <cellStyle name="Hipervínculo visitado 482" xfId="1678" xr:uid="{00000000-0005-0000-0000-00008E060000}"/>
    <cellStyle name="Hipervínculo visitado 483" xfId="1679" xr:uid="{00000000-0005-0000-0000-00008F060000}"/>
    <cellStyle name="Hipervínculo visitado 484" xfId="1680" xr:uid="{00000000-0005-0000-0000-000090060000}"/>
    <cellStyle name="Hipervínculo visitado 485" xfId="1681" xr:uid="{00000000-0005-0000-0000-000091060000}"/>
    <cellStyle name="Hipervínculo visitado 486" xfId="1682" xr:uid="{00000000-0005-0000-0000-000092060000}"/>
    <cellStyle name="Hipervínculo visitado 487" xfId="1683" xr:uid="{00000000-0005-0000-0000-000093060000}"/>
    <cellStyle name="Hipervínculo visitado 488" xfId="1684" xr:uid="{00000000-0005-0000-0000-000094060000}"/>
    <cellStyle name="Hipervínculo visitado 489" xfId="1685" xr:uid="{00000000-0005-0000-0000-000095060000}"/>
    <cellStyle name="Hipervínculo visitado 49" xfId="1686" xr:uid="{00000000-0005-0000-0000-000096060000}"/>
    <cellStyle name="Hipervínculo visitado 490" xfId="1687" xr:uid="{00000000-0005-0000-0000-000097060000}"/>
    <cellStyle name="Hipervínculo visitado 491" xfId="1688" xr:uid="{00000000-0005-0000-0000-000098060000}"/>
    <cellStyle name="Hipervínculo visitado 492" xfId="1689" xr:uid="{00000000-0005-0000-0000-000099060000}"/>
    <cellStyle name="Hipervínculo visitado 493" xfId="1690" xr:uid="{00000000-0005-0000-0000-00009A060000}"/>
    <cellStyle name="Hipervínculo visitado 494" xfId="1691" xr:uid="{00000000-0005-0000-0000-00009B060000}"/>
    <cellStyle name="Hipervínculo visitado 495" xfId="1692" xr:uid="{00000000-0005-0000-0000-00009C060000}"/>
    <cellStyle name="Hipervínculo visitado 496" xfId="1693" xr:uid="{00000000-0005-0000-0000-00009D060000}"/>
    <cellStyle name="Hipervínculo visitado 497" xfId="1694" xr:uid="{00000000-0005-0000-0000-00009E060000}"/>
    <cellStyle name="Hipervínculo visitado 498" xfId="1695" xr:uid="{00000000-0005-0000-0000-00009F060000}"/>
    <cellStyle name="Hipervínculo visitado 499" xfId="1696" xr:uid="{00000000-0005-0000-0000-0000A0060000}"/>
    <cellStyle name="Hipervínculo visitado 5" xfId="1697" xr:uid="{00000000-0005-0000-0000-0000A1060000}"/>
    <cellStyle name="Hipervínculo visitado 50" xfId="1698" xr:uid="{00000000-0005-0000-0000-0000A2060000}"/>
    <cellStyle name="Hipervínculo visitado 500" xfId="1699" xr:uid="{00000000-0005-0000-0000-0000A3060000}"/>
    <cellStyle name="Hipervínculo visitado 501" xfId="1700" xr:uid="{00000000-0005-0000-0000-0000A4060000}"/>
    <cellStyle name="Hipervínculo visitado 502" xfId="1701" xr:uid="{00000000-0005-0000-0000-0000A5060000}"/>
    <cellStyle name="Hipervínculo visitado 503" xfId="1702" xr:uid="{00000000-0005-0000-0000-0000A6060000}"/>
    <cellStyle name="Hipervínculo visitado 504" xfId="1703" xr:uid="{00000000-0005-0000-0000-0000A7060000}"/>
    <cellStyle name="Hipervínculo visitado 505" xfId="1704" xr:uid="{00000000-0005-0000-0000-0000A8060000}"/>
    <cellStyle name="Hipervínculo visitado 506" xfId="1705" xr:uid="{00000000-0005-0000-0000-0000A9060000}"/>
    <cellStyle name="Hipervínculo visitado 507" xfId="1706" xr:uid="{00000000-0005-0000-0000-0000AA060000}"/>
    <cellStyle name="Hipervínculo visitado 508" xfId="1707" xr:uid="{00000000-0005-0000-0000-0000AB060000}"/>
    <cellStyle name="Hipervínculo visitado 509" xfId="1708" xr:uid="{00000000-0005-0000-0000-0000AC060000}"/>
    <cellStyle name="Hipervínculo visitado 51" xfId="1709" xr:uid="{00000000-0005-0000-0000-0000AD060000}"/>
    <cellStyle name="Hipervínculo visitado 510" xfId="1710" xr:uid="{00000000-0005-0000-0000-0000AE060000}"/>
    <cellStyle name="Hipervínculo visitado 511" xfId="1711" xr:uid="{00000000-0005-0000-0000-0000AF060000}"/>
    <cellStyle name="Hipervínculo visitado 512" xfId="1712" xr:uid="{00000000-0005-0000-0000-0000B0060000}"/>
    <cellStyle name="Hipervínculo visitado 513" xfId="1713" xr:uid="{00000000-0005-0000-0000-0000B1060000}"/>
    <cellStyle name="Hipervínculo visitado 514" xfId="1714" xr:uid="{00000000-0005-0000-0000-0000B2060000}"/>
    <cellStyle name="Hipervínculo visitado 515" xfId="1715" xr:uid="{00000000-0005-0000-0000-0000B3060000}"/>
    <cellStyle name="Hipervínculo visitado 516" xfId="1716" xr:uid="{00000000-0005-0000-0000-0000B4060000}"/>
    <cellStyle name="Hipervínculo visitado 517" xfId="1717" xr:uid="{00000000-0005-0000-0000-0000B5060000}"/>
    <cellStyle name="Hipervínculo visitado 518" xfId="1718" xr:uid="{00000000-0005-0000-0000-0000B6060000}"/>
    <cellStyle name="Hipervínculo visitado 519" xfId="1719" xr:uid="{00000000-0005-0000-0000-0000B7060000}"/>
    <cellStyle name="Hipervínculo visitado 52" xfId="1720" xr:uid="{00000000-0005-0000-0000-0000B8060000}"/>
    <cellStyle name="Hipervínculo visitado 520" xfId="1721" xr:uid="{00000000-0005-0000-0000-0000B9060000}"/>
    <cellStyle name="Hipervínculo visitado 521" xfId="1722" xr:uid="{00000000-0005-0000-0000-0000BA060000}"/>
    <cellStyle name="Hipervínculo visitado 522" xfId="1723" xr:uid="{00000000-0005-0000-0000-0000BB060000}"/>
    <cellStyle name="Hipervínculo visitado 523" xfId="1724" xr:uid="{00000000-0005-0000-0000-0000BC060000}"/>
    <cellStyle name="Hipervínculo visitado 524" xfId="1725" xr:uid="{00000000-0005-0000-0000-0000BD060000}"/>
    <cellStyle name="Hipervínculo visitado 525" xfId="1726" xr:uid="{00000000-0005-0000-0000-0000BE060000}"/>
    <cellStyle name="Hipervínculo visitado 526" xfId="1727" xr:uid="{00000000-0005-0000-0000-0000BF060000}"/>
    <cellStyle name="Hipervínculo visitado 527" xfId="1728" xr:uid="{00000000-0005-0000-0000-0000C0060000}"/>
    <cellStyle name="Hipervínculo visitado 528" xfId="1729" xr:uid="{00000000-0005-0000-0000-0000C1060000}"/>
    <cellStyle name="Hipervínculo visitado 529" xfId="1730" xr:uid="{00000000-0005-0000-0000-0000C2060000}"/>
    <cellStyle name="Hipervínculo visitado 53" xfId="1731" xr:uid="{00000000-0005-0000-0000-0000C3060000}"/>
    <cellStyle name="Hipervínculo visitado 530" xfId="1732" xr:uid="{00000000-0005-0000-0000-0000C4060000}"/>
    <cellStyle name="Hipervínculo visitado 531" xfId="1733" xr:uid="{00000000-0005-0000-0000-0000C5060000}"/>
    <cellStyle name="Hipervínculo visitado 532" xfId="1734" xr:uid="{00000000-0005-0000-0000-0000C6060000}"/>
    <cellStyle name="Hipervínculo visitado 533" xfId="1735" xr:uid="{00000000-0005-0000-0000-0000C7060000}"/>
    <cellStyle name="Hipervínculo visitado 534" xfId="1736" xr:uid="{00000000-0005-0000-0000-0000C8060000}"/>
    <cellStyle name="Hipervínculo visitado 535" xfId="1737" xr:uid="{00000000-0005-0000-0000-0000C9060000}"/>
    <cellStyle name="Hipervínculo visitado 536" xfId="1738" xr:uid="{00000000-0005-0000-0000-0000CA060000}"/>
    <cellStyle name="Hipervínculo visitado 537" xfId="1739" xr:uid="{00000000-0005-0000-0000-0000CB060000}"/>
    <cellStyle name="Hipervínculo visitado 538" xfId="1740" xr:uid="{00000000-0005-0000-0000-0000CC060000}"/>
    <cellStyle name="Hipervínculo visitado 539" xfId="1741" xr:uid="{00000000-0005-0000-0000-0000CD060000}"/>
    <cellStyle name="Hipervínculo visitado 54" xfId="1742" xr:uid="{00000000-0005-0000-0000-0000CE060000}"/>
    <cellStyle name="Hipervínculo visitado 540" xfId="1743" xr:uid="{00000000-0005-0000-0000-0000CF060000}"/>
    <cellStyle name="Hipervínculo visitado 541" xfId="1744" xr:uid="{00000000-0005-0000-0000-0000D0060000}"/>
    <cellStyle name="Hipervínculo visitado 542" xfId="1745" xr:uid="{00000000-0005-0000-0000-0000D1060000}"/>
    <cellStyle name="Hipervínculo visitado 543" xfId="1746" xr:uid="{00000000-0005-0000-0000-0000D2060000}"/>
    <cellStyle name="Hipervínculo visitado 544" xfId="1747" xr:uid="{00000000-0005-0000-0000-0000D3060000}"/>
    <cellStyle name="Hipervínculo visitado 545" xfId="1748" xr:uid="{00000000-0005-0000-0000-0000D4060000}"/>
    <cellStyle name="Hipervínculo visitado 546" xfId="1749" xr:uid="{00000000-0005-0000-0000-0000D5060000}"/>
    <cellStyle name="Hipervínculo visitado 547" xfId="1750" xr:uid="{00000000-0005-0000-0000-0000D6060000}"/>
    <cellStyle name="Hipervínculo visitado 548" xfId="1751" xr:uid="{00000000-0005-0000-0000-0000D7060000}"/>
    <cellStyle name="Hipervínculo visitado 549" xfId="1752" xr:uid="{00000000-0005-0000-0000-0000D8060000}"/>
    <cellStyle name="Hipervínculo visitado 55" xfId="1753" xr:uid="{00000000-0005-0000-0000-0000D9060000}"/>
    <cellStyle name="Hipervínculo visitado 550" xfId="1754" xr:uid="{00000000-0005-0000-0000-0000DA060000}"/>
    <cellStyle name="Hipervínculo visitado 551" xfId="1755" xr:uid="{00000000-0005-0000-0000-0000DB060000}"/>
    <cellStyle name="Hipervínculo visitado 552" xfId="1756" xr:uid="{00000000-0005-0000-0000-0000DC060000}"/>
    <cellStyle name="Hipervínculo visitado 553" xfId="1757" xr:uid="{00000000-0005-0000-0000-0000DD060000}"/>
    <cellStyle name="Hipervínculo visitado 554" xfId="1758" xr:uid="{00000000-0005-0000-0000-0000DE060000}"/>
    <cellStyle name="Hipervínculo visitado 555" xfId="1759" xr:uid="{00000000-0005-0000-0000-0000DF060000}"/>
    <cellStyle name="Hipervínculo visitado 556" xfId="1760" xr:uid="{00000000-0005-0000-0000-0000E0060000}"/>
    <cellStyle name="Hipervínculo visitado 557" xfId="1761" xr:uid="{00000000-0005-0000-0000-0000E1060000}"/>
    <cellStyle name="Hipervínculo visitado 558" xfId="1762" xr:uid="{00000000-0005-0000-0000-0000E2060000}"/>
    <cellStyle name="Hipervínculo visitado 559" xfId="1763" xr:uid="{00000000-0005-0000-0000-0000E3060000}"/>
    <cellStyle name="Hipervínculo visitado 56" xfId="1764" xr:uid="{00000000-0005-0000-0000-0000E4060000}"/>
    <cellStyle name="Hipervínculo visitado 560" xfId="1765" xr:uid="{00000000-0005-0000-0000-0000E5060000}"/>
    <cellStyle name="Hipervínculo visitado 561" xfId="1766" xr:uid="{00000000-0005-0000-0000-0000E6060000}"/>
    <cellStyle name="Hipervínculo visitado 562" xfId="1767" xr:uid="{00000000-0005-0000-0000-0000E7060000}"/>
    <cellStyle name="Hipervínculo visitado 563" xfId="1768" xr:uid="{00000000-0005-0000-0000-0000E8060000}"/>
    <cellStyle name="Hipervínculo visitado 564" xfId="1769" xr:uid="{00000000-0005-0000-0000-0000E9060000}"/>
    <cellStyle name="Hipervínculo visitado 565" xfId="1770" xr:uid="{00000000-0005-0000-0000-0000EA060000}"/>
    <cellStyle name="Hipervínculo visitado 566" xfId="1771" xr:uid="{00000000-0005-0000-0000-0000EB060000}"/>
    <cellStyle name="Hipervínculo visitado 567" xfId="1772" xr:uid="{00000000-0005-0000-0000-0000EC060000}"/>
    <cellStyle name="Hipervínculo visitado 568" xfId="1773" xr:uid="{00000000-0005-0000-0000-0000ED060000}"/>
    <cellStyle name="Hipervínculo visitado 569" xfId="1774" xr:uid="{00000000-0005-0000-0000-0000EE060000}"/>
    <cellStyle name="Hipervínculo visitado 57" xfId="1775" xr:uid="{00000000-0005-0000-0000-0000EF060000}"/>
    <cellStyle name="Hipervínculo visitado 570" xfId="1776" xr:uid="{00000000-0005-0000-0000-0000F0060000}"/>
    <cellStyle name="Hipervínculo visitado 571" xfId="1777" xr:uid="{00000000-0005-0000-0000-0000F1060000}"/>
    <cellStyle name="Hipervínculo visitado 572" xfId="1778" xr:uid="{00000000-0005-0000-0000-0000F2060000}"/>
    <cellStyle name="Hipervínculo visitado 573" xfId="1779" xr:uid="{00000000-0005-0000-0000-0000F3060000}"/>
    <cellStyle name="Hipervínculo visitado 574" xfId="1780" xr:uid="{00000000-0005-0000-0000-0000F4060000}"/>
    <cellStyle name="Hipervínculo visitado 575" xfId="1781" xr:uid="{00000000-0005-0000-0000-0000F5060000}"/>
    <cellStyle name="Hipervínculo visitado 576" xfId="1782" xr:uid="{00000000-0005-0000-0000-0000F6060000}"/>
    <cellStyle name="Hipervínculo visitado 577" xfId="1783" xr:uid="{00000000-0005-0000-0000-0000F7060000}"/>
    <cellStyle name="Hipervínculo visitado 578" xfId="1784" xr:uid="{00000000-0005-0000-0000-0000F8060000}"/>
    <cellStyle name="Hipervínculo visitado 579" xfId="1785" xr:uid="{00000000-0005-0000-0000-0000F9060000}"/>
    <cellStyle name="Hipervínculo visitado 58" xfId="1786" xr:uid="{00000000-0005-0000-0000-0000FA060000}"/>
    <cellStyle name="Hipervínculo visitado 580" xfId="1787" xr:uid="{00000000-0005-0000-0000-0000FB060000}"/>
    <cellStyle name="Hipervínculo visitado 581" xfId="1788" xr:uid="{00000000-0005-0000-0000-0000FC060000}"/>
    <cellStyle name="Hipervínculo visitado 582" xfId="1789" xr:uid="{00000000-0005-0000-0000-0000FD060000}"/>
    <cellStyle name="Hipervínculo visitado 583" xfId="1790" xr:uid="{00000000-0005-0000-0000-0000FE060000}"/>
    <cellStyle name="Hipervínculo visitado 584" xfId="1791" xr:uid="{00000000-0005-0000-0000-0000FF060000}"/>
    <cellStyle name="Hipervínculo visitado 585" xfId="1792" xr:uid="{00000000-0005-0000-0000-000000070000}"/>
    <cellStyle name="Hipervínculo visitado 586" xfId="1793" xr:uid="{00000000-0005-0000-0000-000001070000}"/>
    <cellStyle name="Hipervínculo visitado 587" xfId="1794" xr:uid="{00000000-0005-0000-0000-000002070000}"/>
    <cellStyle name="Hipervínculo visitado 588" xfId="1795" xr:uid="{00000000-0005-0000-0000-000003070000}"/>
    <cellStyle name="Hipervínculo visitado 589" xfId="1796" xr:uid="{00000000-0005-0000-0000-000004070000}"/>
    <cellStyle name="Hipervínculo visitado 59" xfId="1797" xr:uid="{00000000-0005-0000-0000-000005070000}"/>
    <cellStyle name="Hipervínculo visitado 590" xfId="1798" xr:uid="{00000000-0005-0000-0000-000006070000}"/>
    <cellStyle name="Hipervínculo visitado 591" xfId="1799" xr:uid="{00000000-0005-0000-0000-000007070000}"/>
    <cellStyle name="Hipervínculo visitado 592" xfId="1800" xr:uid="{00000000-0005-0000-0000-000008070000}"/>
    <cellStyle name="Hipervínculo visitado 593" xfId="1801" xr:uid="{00000000-0005-0000-0000-000009070000}"/>
    <cellStyle name="Hipervínculo visitado 594" xfId="1802" xr:uid="{00000000-0005-0000-0000-00000A070000}"/>
    <cellStyle name="Hipervínculo visitado 595" xfId="1803" xr:uid="{00000000-0005-0000-0000-00000B070000}"/>
    <cellStyle name="Hipervínculo visitado 596" xfId="1804" xr:uid="{00000000-0005-0000-0000-00000C070000}"/>
    <cellStyle name="Hipervínculo visitado 597" xfId="1805" xr:uid="{00000000-0005-0000-0000-00000D070000}"/>
    <cellStyle name="Hipervínculo visitado 598" xfId="1806" xr:uid="{00000000-0005-0000-0000-00000E070000}"/>
    <cellStyle name="Hipervínculo visitado 599" xfId="1807" xr:uid="{00000000-0005-0000-0000-00000F070000}"/>
    <cellStyle name="Hipervínculo visitado 6" xfId="1808" xr:uid="{00000000-0005-0000-0000-000010070000}"/>
    <cellStyle name="Hipervínculo visitado 60" xfId="1809" xr:uid="{00000000-0005-0000-0000-000011070000}"/>
    <cellStyle name="Hipervínculo visitado 600" xfId="1810" xr:uid="{00000000-0005-0000-0000-000012070000}"/>
    <cellStyle name="Hipervínculo visitado 601" xfId="1811" xr:uid="{00000000-0005-0000-0000-000013070000}"/>
    <cellStyle name="Hipervínculo visitado 602" xfId="1812" xr:uid="{00000000-0005-0000-0000-000014070000}"/>
    <cellStyle name="Hipervínculo visitado 603" xfId="1813" xr:uid="{00000000-0005-0000-0000-000015070000}"/>
    <cellStyle name="Hipervínculo visitado 604" xfId="1814" xr:uid="{00000000-0005-0000-0000-000016070000}"/>
    <cellStyle name="Hipervínculo visitado 605" xfId="1815" xr:uid="{00000000-0005-0000-0000-000017070000}"/>
    <cellStyle name="Hipervínculo visitado 606" xfId="1816" xr:uid="{00000000-0005-0000-0000-000018070000}"/>
    <cellStyle name="Hipervínculo visitado 607" xfId="1817" xr:uid="{00000000-0005-0000-0000-000019070000}"/>
    <cellStyle name="Hipervínculo visitado 608" xfId="1818" xr:uid="{00000000-0005-0000-0000-00001A070000}"/>
    <cellStyle name="Hipervínculo visitado 609" xfId="1819" xr:uid="{00000000-0005-0000-0000-00001B070000}"/>
    <cellStyle name="Hipervínculo visitado 61" xfId="1820" xr:uid="{00000000-0005-0000-0000-00001C070000}"/>
    <cellStyle name="Hipervínculo visitado 610" xfId="1821" xr:uid="{00000000-0005-0000-0000-00001D070000}"/>
    <cellStyle name="Hipervínculo visitado 611" xfId="1822" xr:uid="{00000000-0005-0000-0000-00001E070000}"/>
    <cellStyle name="Hipervínculo visitado 612" xfId="1823" xr:uid="{00000000-0005-0000-0000-00001F070000}"/>
    <cellStyle name="Hipervínculo visitado 613" xfId="1824" xr:uid="{00000000-0005-0000-0000-000020070000}"/>
    <cellStyle name="Hipervínculo visitado 614" xfId="1825" xr:uid="{00000000-0005-0000-0000-000021070000}"/>
    <cellStyle name="Hipervínculo visitado 615" xfId="1826" xr:uid="{00000000-0005-0000-0000-000022070000}"/>
    <cellStyle name="Hipervínculo visitado 616" xfId="1827" xr:uid="{00000000-0005-0000-0000-000023070000}"/>
    <cellStyle name="Hipervínculo visitado 617" xfId="1828" xr:uid="{00000000-0005-0000-0000-000024070000}"/>
    <cellStyle name="Hipervínculo visitado 618" xfId="1829" xr:uid="{00000000-0005-0000-0000-000025070000}"/>
    <cellStyle name="Hipervínculo visitado 619" xfId="1830" xr:uid="{00000000-0005-0000-0000-000026070000}"/>
    <cellStyle name="Hipervínculo visitado 62" xfId="1831" xr:uid="{00000000-0005-0000-0000-000027070000}"/>
    <cellStyle name="Hipervínculo visitado 620" xfId="1832" xr:uid="{00000000-0005-0000-0000-000028070000}"/>
    <cellStyle name="Hipervínculo visitado 621" xfId="1833" xr:uid="{00000000-0005-0000-0000-000029070000}"/>
    <cellStyle name="Hipervínculo visitado 622" xfId="1834" xr:uid="{00000000-0005-0000-0000-00002A070000}"/>
    <cellStyle name="Hipervínculo visitado 623" xfId="1835" xr:uid="{00000000-0005-0000-0000-00002B070000}"/>
    <cellStyle name="Hipervínculo visitado 624" xfId="1836" xr:uid="{00000000-0005-0000-0000-00002C070000}"/>
    <cellStyle name="Hipervínculo visitado 625" xfId="1837" xr:uid="{00000000-0005-0000-0000-00002D070000}"/>
    <cellStyle name="Hipervínculo visitado 626" xfId="1838" xr:uid="{00000000-0005-0000-0000-00002E070000}"/>
    <cellStyle name="Hipervínculo visitado 627" xfId="1839" xr:uid="{00000000-0005-0000-0000-00002F070000}"/>
    <cellStyle name="Hipervínculo visitado 628" xfId="1840" xr:uid="{00000000-0005-0000-0000-000030070000}"/>
    <cellStyle name="Hipervínculo visitado 629" xfId="1841" xr:uid="{00000000-0005-0000-0000-000031070000}"/>
    <cellStyle name="Hipervínculo visitado 63" xfId="1842" xr:uid="{00000000-0005-0000-0000-000032070000}"/>
    <cellStyle name="Hipervínculo visitado 630" xfId="1843" xr:uid="{00000000-0005-0000-0000-000033070000}"/>
    <cellStyle name="Hipervínculo visitado 631" xfId="1844" xr:uid="{00000000-0005-0000-0000-000034070000}"/>
    <cellStyle name="Hipervínculo visitado 632" xfId="1845" xr:uid="{00000000-0005-0000-0000-000035070000}"/>
    <cellStyle name="Hipervínculo visitado 633" xfId="1846" xr:uid="{00000000-0005-0000-0000-000036070000}"/>
    <cellStyle name="Hipervínculo visitado 634" xfId="1847" xr:uid="{00000000-0005-0000-0000-000037070000}"/>
    <cellStyle name="Hipervínculo visitado 635" xfId="1848" xr:uid="{00000000-0005-0000-0000-000038070000}"/>
    <cellStyle name="Hipervínculo visitado 636" xfId="1849" xr:uid="{00000000-0005-0000-0000-000039070000}"/>
    <cellStyle name="Hipervínculo visitado 637" xfId="1850" xr:uid="{00000000-0005-0000-0000-00003A070000}"/>
    <cellStyle name="Hipervínculo visitado 638" xfId="1851" xr:uid="{00000000-0005-0000-0000-00003B070000}"/>
    <cellStyle name="Hipervínculo visitado 639" xfId="1852" xr:uid="{00000000-0005-0000-0000-00003C070000}"/>
    <cellStyle name="Hipervínculo visitado 64" xfId="1853" xr:uid="{00000000-0005-0000-0000-00003D070000}"/>
    <cellStyle name="Hipervínculo visitado 640" xfId="1854" xr:uid="{00000000-0005-0000-0000-00003E070000}"/>
    <cellStyle name="Hipervínculo visitado 641" xfId="1855" xr:uid="{00000000-0005-0000-0000-00003F070000}"/>
    <cellStyle name="Hipervínculo visitado 642" xfId="1856" xr:uid="{00000000-0005-0000-0000-000040070000}"/>
    <cellStyle name="Hipervínculo visitado 643" xfId="1857" xr:uid="{00000000-0005-0000-0000-000041070000}"/>
    <cellStyle name="Hipervínculo visitado 644" xfId="1858" xr:uid="{00000000-0005-0000-0000-000042070000}"/>
    <cellStyle name="Hipervínculo visitado 645" xfId="1859" xr:uid="{00000000-0005-0000-0000-000043070000}"/>
    <cellStyle name="Hipervínculo visitado 646" xfId="1860" xr:uid="{00000000-0005-0000-0000-000044070000}"/>
    <cellStyle name="Hipervínculo visitado 647" xfId="1861" xr:uid="{00000000-0005-0000-0000-000045070000}"/>
    <cellStyle name="Hipervínculo visitado 648" xfId="1862" xr:uid="{00000000-0005-0000-0000-000046070000}"/>
    <cellStyle name="Hipervínculo visitado 649" xfId="1863" xr:uid="{00000000-0005-0000-0000-000047070000}"/>
    <cellStyle name="Hipervínculo visitado 65" xfId="1864" xr:uid="{00000000-0005-0000-0000-000048070000}"/>
    <cellStyle name="Hipervínculo visitado 650" xfId="1865" xr:uid="{00000000-0005-0000-0000-000049070000}"/>
    <cellStyle name="Hipervínculo visitado 651" xfId="1866" xr:uid="{00000000-0005-0000-0000-00004A070000}"/>
    <cellStyle name="Hipervínculo visitado 652" xfId="1867" xr:uid="{00000000-0005-0000-0000-00004B070000}"/>
    <cellStyle name="Hipervínculo visitado 653" xfId="1868" xr:uid="{00000000-0005-0000-0000-00004C070000}"/>
    <cellStyle name="Hipervínculo visitado 654" xfId="1869" xr:uid="{00000000-0005-0000-0000-00004D070000}"/>
    <cellStyle name="Hipervínculo visitado 655" xfId="1870" xr:uid="{00000000-0005-0000-0000-00004E070000}"/>
    <cellStyle name="Hipervínculo visitado 656" xfId="1871" xr:uid="{00000000-0005-0000-0000-00004F070000}"/>
    <cellStyle name="Hipervínculo visitado 657" xfId="1872" xr:uid="{00000000-0005-0000-0000-000050070000}"/>
    <cellStyle name="Hipervínculo visitado 658" xfId="1873" xr:uid="{00000000-0005-0000-0000-000051070000}"/>
    <cellStyle name="Hipervínculo visitado 659" xfId="1874" xr:uid="{00000000-0005-0000-0000-000052070000}"/>
    <cellStyle name="Hipervínculo visitado 66" xfId="1875" xr:uid="{00000000-0005-0000-0000-000053070000}"/>
    <cellStyle name="Hipervínculo visitado 660" xfId="1876" xr:uid="{00000000-0005-0000-0000-000054070000}"/>
    <cellStyle name="Hipervínculo visitado 661" xfId="1877" xr:uid="{00000000-0005-0000-0000-000055070000}"/>
    <cellStyle name="Hipervínculo visitado 662" xfId="1878" xr:uid="{00000000-0005-0000-0000-000056070000}"/>
    <cellStyle name="Hipervínculo visitado 663" xfId="1879" xr:uid="{00000000-0005-0000-0000-000057070000}"/>
    <cellStyle name="Hipervínculo visitado 664" xfId="1880" xr:uid="{00000000-0005-0000-0000-000058070000}"/>
    <cellStyle name="Hipervínculo visitado 665" xfId="1881" xr:uid="{00000000-0005-0000-0000-000059070000}"/>
    <cellStyle name="Hipervínculo visitado 666" xfId="1882" xr:uid="{00000000-0005-0000-0000-00005A070000}"/>
    <cellStyle name="Hipervínculo visitado 667" xfId="1883" xr:uid="{00000000-0005-0000-0000-00005B070000}"/>
    <cellStyle name="Hipervínculo visitado 668" xfId="1884" xr:uid="{00000000-0005-0000-0000-00005C070000}"/>
    <cellStyle name="Hipervínculo visitado 669" xfId="1885" xr:uid="{00000000-0005-0000-0000-00005D070000}"/>
    <cellStyle name="Hipervínculo visitado 67" xfId="1886" xr:uid="{00000000-0005-0000-0000-00005E070000}"/>
    <cellStyle name="Hipervínculo visitado 670" xfId="1887" xr:uid="{00000000-0005-0000-0000-00005F070000}"/>
    <cellStyle name="Hipervínculo visitado 671" xfId="1888" xr:uid="{00000000-0005-0000-0000-000060070000}"/>
    <cellStyle name="Hipervínculo visitado 672" xfId="1889" xr:uid="{00000000-0005-0000-0000-000061070000}"/>
    <cellStyle name="Hipervínculo visitado 673" xfId="1890" xr:uid="{00000000-0005-0000-0000-000062070000}"/>
    <cellStyle name="Hipervínculo visitado 674" xfId="1891" xr:uid="{00000000-0005-0000-0000-000063070000}"/>
    <cellStyle name="Hipervínculo visitado 675" xfId="1892" xr:uid="{00000000-0005-0000-0000-000064070000}"/>
    <cellStyle name="Hipervínculo visitado 676" xfId="1893" xr:uid="{00000000-0005-0000-0000-000065070000}"/>
    <cellStyle name="Hipervínculo visitado 677" xfId="1894" xr:uid="{00000000-0005-0000-0000-000066070000}"/>
    <cellStyle name="Hipervínculo visitado 678" xfId="1895" xr:uid="{00000000-0005-0000-0000-000067070000}"/>
    <cellStyle name="Hipervínculo visitado 679" xfId="1896" xr:uid="{00000000-0005-0000-0000-000068070000}"/>
    <cellStyle name="Hipervínculo visitado 68" xfId="1897" xr:uid="{00000000-0005-0000-0000-000069070000}"/>
    <cellStyle name="Hipervínculo visitado 680" xfId="1898" xr:uid="{00000000-0005-0000-0000-00006A070000}"/>
    <cellStyle name="Hipervínculo visitado 681" xfId="1899" xr:uid="{00000000-0005-0000-0000-00006B070000}"/>
    <cellStyle name="Hipervínculo visitado 682" xfId="1900" xr:uid="{00000000-0005-0000-0000-00006C070000}"/>
    <cellStyle name="Hipervínculo visitado 683" xfId="1901" xr:uid="{00000000-0005-0000-0000-00006D070000}"/>
    <cellStyle name="Hipervínculo visitado 684" xfId="1902" xr:uid="{00000000-0005-0000-0000-00006E070000}"/>
    <cellStyle name="Hipervínculo visitado 685" xfId="1903" xr:uid="{00000000-0005-0000-0000-00006F070000}"/>
    <cellStyle name="Hipervínculo visitado 686" xfId="1904" xr:uid="{00000000-0005-0000-0000-000070070000}"/>
    <cellStyle name="Hipervínculo visitado 687" xfId="1905" xr:uid="{00000000-0005-0000-0000-000071070000}"/>
    <cellStyle name="Hipervínculo visitado 688" xfId="1906" xr:uid="{00000000-0005-0000-0000-000072070000}"/>
    <cellStyle name="Hipervínculo visitado 689" xfId="1907" xr:uid="{00000000-0005-0000-0000-000073070000}"/>
    <cellStyle name="Hipervínculo visitado 69" xfId="1908" xr:uid="{00000000-0005-0000-0000-000074070000}"/>
    <cellStyle name="Hipervínculo visitado 690" xfId="1909" xr:uid="{00000000-0005-0000-0000-000075070000}"/>
    <cellStyle name="Hipervínculo visitado 691" xfId="1910" xr:uid="{00000000-0005-0000-0000-000076070000}"/>
    <cellStyle name="Hipervínculo visitado 692" xfId="1911" xr:uid="{00000000-0005-0000-0000-000077070000}"/>
    <cellStyle name="Hipervínculo visitado 693" xfId="1912" xr:uid="{00000000-0005-0000-0000-000078070000}"/>
    <cellStyle name="Hipervínculo visitado 694" xfId="1913" xr:uid="{00000000-0005-0000-0000-000079070000}"/>
    <cellStyle name="Hipervínculo visitado 695" xfId="1914" xr:uid="{00000000-0005-0000-0000-00007A070000}"/>
    <cellStyle name="Hipervínculo visitado 696" xfId="1915" xr:uid="{00000000-0005-0000-0000-00007B070000}"/>
    <cellStyle name="Hipervínculo visitado 697" xfId="1916" xr:uid="{00000000-0005-0000-0000-00007C070000}"/>
    <cellStyle name="Hipervínculo visitado 698" xfId="1917" xr:uid="{00000000-0005-0000-0000-00007D070000}"/>
    <cellStyle name="Hipervínculo visitado 699" xfId="1918" xr:uid="{00000000-0005-0000-0000-00007E070000}"/>
    <cellStyle name="Hipervínculo visitado 7" xfId="1919" xr:uid="{00000000-0005-0000-0000-00007F070000}"/>
    <cellStyle name="Hipervínculo visitado 70" xfId="1920" xr:uid="{00000000-0005-0000-0000-000080070000}"/>
    <cellStyle name="Hipervínculo visitado 700" xfId="1921" xr:uid="{00000000-0005-0000-0000-000081070000}"/>
    <cellStyle name="Hipervínculo visitado 701" xfId="1922" xr:uid="{00000000-0005-0000-0000-000082070000}"/>
    <cellStyle name="Hipervínculo visitado 702" xfId="1923" xr:uid="{00000000-0005-0000-0000-000083070000}"/>
    <cellStyle name="Hipervínculo visitado 703" xfId="1924" xr:uid="{00000000-0005-0000-0000-000084070000}"/>
    <cellStyle name="Hipervínculo visitado 704" xfId="1925" xr:uid="{00000000-0005-0000-0000-000085070000}"/>
    <cellStyle name="Hipervínculo visitado 705" xfId="1926" xr:uid="{00000000-0005-0000-0000-000086070000}"/>
    <cellStyle name="Hipervínculo visitado 706" xfId="1927" xr:uid="{00000000-0005-0000-0000-000087070000}"/>
    <cellStyle name="Hipervínculo visitado 707" xfId="1928" xr:uid="{00000000-0005-0000-0000-000088070000}"/>
    <cellStyle name="Hipervínculo visitado 708" xfId="1929" xr:uid="{00000000-0005-0000-0000-000089070000}"/>
    <cellStyle name="Hipervínculo visitado 709" xfId="1930" xr:uid="{00000000-0005-0000-0000-00008A070000}"/>
    <cellStyle name="Hipervínculo visitado 71" xfId="1931" xr:uid="{00000000-0005-0000-0000-00008B070000}"/>
    <cellStyle name="Hipervínculo visitado 710" xfId="1932" xr:uid="{00000000-0005-0000-0000-00008C070000}"/>
    <cellStyle name="Hipervínculo visitado 711" xfId="1933" xr:uid="{00000000-0005-0000-0000-00008D070000}"/>
    <cellStyle name="Hipervínculo visitado 712" xfId="1934" xr:uid="{00000000-0005-0000-0000-00008E070000}"/>
    <cellStyle name="Hipervínculo visitado 713" xfId="1935" xr:uid="{00000000-0005-0000-0000-00008F070000}"/>
    <cellStyle name="Hipervínculo visitado 714" xfId="1936" xr:uid="{00000000-0005-0000-0000-000090070000}"/>
    <cellStyle name="Hipervínculo visitado 715" xfId="1937" xr:uid="{00000000-0005-0000-0000-000091070000}"/>
    <cellStyle name="Hipervínculo visitado 716" xfId="1938" xr:uid="{00000000-0005-0000-0000-000092070000}"/>
    <cellStyle name="Hipervínculo visitado 717" xfId="1939" xr:uid="{00000000-0005-0000-0000-000093070000}"/>
    <cellStyle name="Hipervínculo visitado 718" xfId="1940" xr:uid="{00000000-0005-0000-0000-000094070000}"/>
    <cellStyle name="Hipervínculo visitado 719" xfId="1941" xr:uid="{00000000-0005-0000-0000-000095070000}"/>
    <cellStyle name="Hipervínculo visitado 72" xfId="1942" xr:uid="{00000000-0005-0000-0000-000096070000}"/>
    <cellStyle name="Hipervínculo visitado 720" xfId="1943" xr:uid="{00000000-0005-0000-0000-000097070000}"/>
    <cellStyle name="Hipervínculo visitado 721" xfId="1944" xr:uid="{00000000-0005-0000-0000-000098070000}"/>
    <cellStyle name="Hipervínculo visitado 722" xfId="1945" xr:uid="{00000000-0005-0000-0000-000099070000}"/>
    <cellStyle name="Hipervínculo visitado 723" xfId="1946" xr:uid="{00000000-0005-0000-0000-00009A070000}"/>
    <cellStyle name="Hipervínculo visitado 724" xfId="1947" xr:uid="{00000000-0005-0000-0000-00009B070000}"/>
    <cellStyle name="Hipervínculo visitado 725" xfId="1948" xr:uid="{00000000-0005-0000-0000-00009C070000}"/>
    <cellStyle name="Hipervínculo visitado 726" xfId="1949" xr:uid="{00000000-0005-0000-0000-00009D070000}"/>
    <cellStyle name="Hipervínculo visitado 727" xfId="1950" xr:uid="{00000000-0005-0000-0000-00009E070000}"/>
    <cellStyle name="Hipervínculo visitado 728" xfId="1951" xr:uid="{00000000-0005-0000-0000-00009F070000}"/>
    <cellStyle name="Hipervínculo visitado 729" xfId="1952" xr:uid="{00000000-0005-0000-0000-0000A0070000}"/>
    <cellStyle name="Hipervínculo visitado 73" xfId="1953" xr:uid="{00000000-0005-0000-0000-0000A1070000}"/>
    <cellStyle name="Hipervínculo visitado 730" xfId="1954" xr:uid="{00000000-0005-0000-0000-0000A2070000}"/>
    <cellStyle name="Hipervínculo visitado 731" xfId="1955" xr:uid="{00000000-0005-0000-0000-0000A3070000}"/>
    <cellStyle name="Hipervínculo visitado 732" xfId="1956" xr:uid="{00000000-0005-0000-0000-0000A4070000}"/>
    <cellStyle name="Hipervínculo visitado 733" xfId="1957" xr:uid="{00000000-0005-0000-0000-0000A5070000}"/>
    <cellStyle name="Hipervínculo visitado 734" xfId="1958" xr:uid="{00000000-0005-0000-0000-0000A6070000}"/>
    <cellStyle name="Hipervínculo visitado 735" xfId="1959" xr:uid="{00000000-0005-0000-0000-0000A7070000}"/>
    <cellStyle name="Hipervínculo visitado 736" xfId="1960" xr:uid="{00000000-0005-0000-0000-0000A8070000}"/>
    <cellStyle name="Hipervínculo visitado 737" xfId="1961" xr:uid="{00000000-0005-0000-0000-0000A9070000}"/>
    <cellStyle name="Hipervínculo visitado 738" xfId="1962" xr:uid="{00000000-0005-0000-0000-0000AA070000}"/>
    <cellStyle name="Hipervínculo visitado 739" xfId="1963" xr:uid="{00000000-0005-0000-0000-0000AB070000}"/>
    <cellStyle name="Hipervínculo visitado 74" xfId="1964" xr:uid="{00000000-0005-0000-0000-0000AC070000}"/>
    <cellStyle name="Hipervínculo visitado 740" xfId="1965" xr:uid="{00000000-0005-0000-0000-0000AD070000}"/>
    <cellStyle name="Hipervínculo visitado 741" xfId="1966" xr:uid="{00000000-0005-0000-0000-0000AE070000}"/>
    <cellStyle name="Hipervínculo visitado 742" xfId="1967" xr:uid="{00000000-0005-0000-0000-0000AF070000}"/>
    <cellStyle name="Hipervínculo visitado 743" xfId="1968" xr:uid="{00000000-0005-0000-0000-0000B0070000}"/>
    <cellStyle name="Hipervínculo visitado 744" xfId="1969" xr:uid="{00000000-0005-0000-0000-0000B1070000}"/>
    <cellStyle name="Hipervínculo visitado 745" xfId="1970" xr:uid="{00000000-0005-0000-0000-0000B2070000}"/>
    <cellStyle name="Hipervínculo visitado 746" xfId="1971" xr:uid="{00000000-0005-0000-0000-0000B3070000}"/>
    <cellStyle name="Hipervínculo visitado 747" xfId="1972" xr:uid="{00000000-0005-0000-0000-0000B4070000}"/>
    <cellStyle name="Hipervínculo visitado 748" xfId="1973" xr:uid="{00000000-0005-0000-0000-0000B5070000}"/>
    <cellStyle name="Hipervínculo visitado 749" xfId="1974" xr:uid="{00000000-0005-0000-0000-0000B6070000}"/>
    <cellStyle name="Hipervínculo visitado 75" xfId="1975" xr:uid="{00000000-0005-0000-0000-0000B7070000}"/>
    <cellStyle name="Hipervínculo visitado 750" xfId="1976" xr:uid="{00000000-0005-0000-0000-0000B8070000}"/>
    <cellStyle name="Hipervínculo visitado 751" xfId="1977" xr:uid="{00000000-0005-0000-0000-0000B9070000}"/>
    <cellStyle name="Hipervínculo visitado 752" xfId="1978" xr:uid="{00000000-0005-0000-0000-0000BA070000}"/>
    <cellStyle name="Hipervínculo visitado 753" xfId="1979" xr:uid="{00000000-0005-0000-0000-0000BB070000}"/>
    <cellStyle name="Hipervínculo visitado 754" xfId="1980" xr:uid="{00000000-0005-0000-0000-0000BC070000}"/>
    <cellStyle name="Hipervínculo visitado 755" xfId="1981" xr:uid="{00000000-0005-0000-0000-0000BD070000}"/>
    <cellStyle name="Hipervínculo visitado 756" xfId="1982" xr:uid="{00000000-0005-0000-0000-0000BE070000}"/>
    <cellStyle name="Hipervínculo visitado 757" xfId="1983" xr:uid="{00000000-0005-0000-0000-0000BF070000}"/>
    <cellStyle name="Hipervínculo visitado 758" xfId="1984" xr:uid="{00000000-0005-0000-0000-0000C0070000}"/>
    <cellStyle name="Hipervínculo visitado 759" xfId="1985" xr:uid="{00000000-0005-0000-0000-0000C1070000}"/>
    <cellStyle name="Hipervínculo visitado 76" xfId="1986" xr:uid="{00000000-0005-0000-0000-0000C2070000}"/>
    <cellStyle name="Hipervínculo visitado 760" xfId="1987" xr:uid="{00000000-0005-0000-0000-0000C3070000}"/>
    <cellStyle name="Hipervínculo visitado 761" xfId="1988" xr:uid="{00000000-0005-0000-0000-0000C4070000}"/>
    <cellStyle name="Hipervínculo visitado 762" xfId="1989" xr:uid="{00000000-0005-0000-0000-0000C5070000}"/>
    <cellStyle name="Hipervínculo visitado 763" xfId="1990" xr:uid="{00000000-0005-0000-0000-0000C6070000}"/>
    <cellStyle name="Hipervínculo visitado 764" xfId="1991" xr:uid="{00000000-0005-0000-0000-0000C7070000}"/>
    <cellStyle name="Hipervínculo visitado 765" xfId="1992" xr:uid="{00000000-0005-0000-0000-0000C8070000}"/>
    <cellStyle name="Hipervínculo visitado 766" xfId="1993" xr:uid="{00000000-0005-0000-0000-0000C9070000}"/>
    <cellStyle name="Hipervínculo visitado 767" xfId="1994" xr:uid="{00000000-0005-0000-0000-0000CA070000}"/>
    <cellStyle name="Hipervínculo visitado 768" xfId="1995" xr:uid="{00000000-0005-0000-0000-0000CB070000}"/>
    <cellStyle name="Hipervínculo visitado 769" xfId="1996" xr:uid="{00000000-0005-0000-0000-0000CC070000}"/>
    <cellStyle name="Hipervínculo visitado 77" xfId="1997" xr:uid="{00000000-0005-0000-0000-0000CD070000}"/>
    <cellStyle name="Hipervínculo visitado 770" xfId="1998" xr:uid="{00000000-0005-0000-0000-0000CE070000}"/>
    <cellStyle name="Hipervínculo visitado 771" xfId="1999" xr:uid="{00000000-0005-0000-0000-0000CF070000}"/>
    <cellStyle name="Hipervínculo visitado 772" xfId="2000" xr:uid="{00000000-0005-0000-0000-0000D0070000}"/>
    <cellStyle name="Hipervínculo visitado 773" xfId="2001" xr:uid="{00000000-0005-0000-0000-0000D1070000}"/>
    <cellStyle name="Hipervínculo visitado 774" xfId="2002" xr:uid="{00000000-0005-0000-0000-0000D2070000}"/>
    <cellStyle name="Hipervínculo visitado 775" xfId="2003" xr:uid="{00000000-0005-0000-0000-0000D3070000}"/>
    <cellStyle name="Hipervínculo visitado 776" xfId="2004" xr:uid="{00000000-0005-0000-0000-0000D4070000}"/>
    <cellStyle name="Hipervínculo visitado 777" xfId="2005" xr:uid="{00000000-0005-0000-0000-0000D5070000}"/>
    <cellStyle name="Hipervínculo visitado 778" xfId="2006" xr:uid="{00000000-0005-0000-0000-0000D6070000}"/>
    <cellStyle name="Hipervínculo visitado 779" xfId="2007" xr:uid="{00000000-0005-0000-0000-0000D7070000}"/>
    <cellStyle name="Hipervínculo visitado 78" xfId="2008" xr:uid="{00000000-0005-0000-0000-0000D8070000}"/>
    <cellStyle name="Hipervínculo visitado 780" xfId="2009" xr:uid="{00000000-0005-0000-0000-0000D9070000}"/>
    <cellStyle name="Hipervínculo visitado 781" xfId="2010" xr:uid="{00000000-0005-0000-0000-0000DA070000}"/>
    <cellStyle name="Hipervínculo visitado 782" xfId="2011" xr:uid="{00000000-0005-0000-0000-0000DB070000}"/>
    <cellStyle name="Hipervínculo visitado 783" xfId="2012" xr:uid="{00000000-0005-0000-0000-0000DC070000}"/>
    <cellStyle name="Hipervínculo visitado 784" xfId="2013" xr:uid="{00000000-0005-0000-0000-0000DD070000}"/>
    <cellStyle name="Hipervínculo visitado 785" xfId="2014" xr:uid="{00000000-0005-0000-0000-0000DE070000}"/>
    <cellStyle name="Hipervínculo visitado 786" xfId="2015" xr:uid="{00000000-0005-0000-0000-0000DF070000}"/>
    <cellStyle name="Hipervínculo visitado 787" xfId="2016" xr:uid="{00000000-0005-0000-0000-0000E0070000}"/>
    <cellStyle name="Hipervínculo visitado 788" xfId="2017" xr:uid="{00000000-0005-0000-0000-0000E1070000}"/>
    <cellStyle name="Hipervínculo visitado 789" xfId="2018" xr:uid="{00000000-0005-0000-0000-0000E2070000}"/>
    <cellStyle name="Hipervínculo visitado 79" xfId="2019" xr:uid="{00000000-0005-0000-0000-0000E3070000}"/>
    <cellStyle name="Hipervínculo visitado 790" xfId="2020" xr:uid="{00000000-0005-0000-0000-0000E4070000}"/>
    <cellStyle name="Hipervínculo visitado 791" xfId="2021" xr:uid="{00000000-0005-0000-0000-0000E5070000}"/>
    <cellStyle name="Hipervínculo visitado 792" xfId="2022" xr:uid="{00000000-0005-0000-0000-0000E6070000}"/>
    <cellStyle name="Hipervínculo visitado 793" xfId="2023" xr:uid="{00000000-0005-0000-0000-0000E7070000}"/>
    <cellStyle name="Hipervínculo visitado 794" xfId="2024" xr:uid="{00000000-0005-0000-0000-0000E8070000}"/>
    <cellStyle name="Hipervínculo visitado 795" xfId="2025" xr:uid="{00000000-0005-0000-0000-0000E9070000}"/>
    <cellStyle name="Hipervínculo visitado 796" xfId="2026" xr:uid="{00000000-0005-0000-0000-0000EA070000}"/>
    <cellStyle name="Hipervínculo visitado 797" xfId="2027" xr:uid="{00000000-0005-0000-0000-0000EB070000}"/>
    <cellStyle name="Hipervínculo visitado 798" xfId="2028" xr:uid="{00000000-0005-0000-0000-0000EC070000}"/>
    <cellStyle name="Hipervínculo visitado 799" xfId="2029" xr:uid="{00000000-0005-0000-0000-0000ED070000}"/>
    <cellStyle name="Hipervínculo visitado 8" xfId="2030" xr:uid="{00000000-0005-0000-0000-0000EE070000}"/>
    <cellStyle name="Hipervínculo visitado 80" xfId="2031" xr:uid="{00000000-0005-0000-0000-0000EF070000}"/>
    <cellStyle name="Hipervínculo visitado 800" xfId="2032" xr:uid="{00000000-0005-0000-0000-0000F0070000}"/>
    <cellStyle name="Hipervínculo visitado 801" xfId="2033" xr:uid="{00000000-0005-0000-0000-0000F1070000}"/>
    <cellStyle name="Hipervínculo visitado 802" xfId="2034" xr:uid="{00000000-0005-0000-0000-0000F2070000}"/>
    <cellStyle name="Hipervínculo visitado 803" xfId="2035" xr:uid="{00000000-0005-0000-0000-0000F3070000}"/>
    <cellStyle name="Hipervínculo visitado 804" xfId="2036" xr:uid="{00000000-0005-0000-0000-0000F4070000}"/>
    <cellStyle name="Hipervínculo visitado 805" xfId="2037" xr:uid="{00000000-0005-0000-0000-0000F5070000}"/>
    <cellStyle name="Hipervínculo visitado 806" xfId="2038" xr:uid="{00000000-0005-0000-0000-0000F6070000}"/>
    <cellStyle name="Hipervínculo visitado 807" xfId="2039" xr:uid="{00000000-0005-0000-0000-0000F7070000}"/>
    <cellStyle name="Hipervínculo visitado 808" xfId="2040" xr:uid="{00000000-0005-0000-0000-0000F8070000}"/>
    <cellStyle name="Hipervínculo visitado 809" xfId="2041" xr:uid="{00000000-0005-0000-0000-0000F9070000}"/>
    <cellStyle name="Hipervínculo visitado 81" xfId="2042" xr:uid="{00000000-0005-0000-0000-0000FA070000}"/>
    <cellStyle name="Hipervínculo visitado 810" xfId="2043" xr:uid="{00000000-0005-0000-0000-0000FB070000}"/>
    <cellStyle name="Hipervínculo visitado 811" xfId="2044" xr:uid="{00000000-0005-0000-0000-0000FC070000}"/>
    <cellStyle name="Hipervínculo visitado 812" xfId="2045" xr:uid="{00000000-0005-0000-0000-0000FD070000}"/>
    <cellStyle name="Hipervínculo visitado 813" xfId="2046" xr:uid="{00000000-0005-0000-0000-0000FE070000}"/>
    <cellStyle name="Hipervínculo visitado 814" xfId="2047" xr:uid="{00000000-0005-0000-0000-0000FF070000}"/>
    <cellStyle name="Hipervínculo visitado 815" xfId="2048" xr:uid="{00000000-0005-0000-0000-000000080000}"/>
    <cellStyle name="Hipervínculo visitado 816" xfId="2049" xr:uid="{00000000-0005-0000-0000-000001080000}"/>
    <cellStyle name="Hipervínculo visitado 817" xfId="2050" xr:uid="{00000000-0005-0000-0000-000002080000}"/>
    <cellStyle name="Hipervínculo visitado 818" xfId="2051" xr:uid="{00000000-0005-0000-0000-000003080000}"/>
    <cellStyle name="Hipervínculo visitado 819" xfId="2052" xr:uid="{00000000-0005-0000-0000-000004080000}"/>
    <cellStyle name="Hipervínculo visitado 82" xfId="2053" xr:uid="{00000000-0005-0000-0000-000005080000}"/>
    <cellStyle name="Hipervínculo visitado 820" xfId="2054" xr:uid="{00000000-0005-0000-0000-000006080000}"/>
    <cellStyle name="Hipervínculo visitado 821" xfId="2055" xr:uid="{00000000-0005-0000-0000-000007080000}"/>
    <cellStyle name="Hipervínculo visitado 822" xfId="2056" xr:uid="{00000000-0005-0000-0000-000008080000}"/>
    <cellStyle name="Hipervínculo visitado 823" xfId="2057" xr:uid="{00000000-0005-0000-0000-000009080000}"/>
    <cellStyle name="Hipervínculo visitado 824" xfId="2058" xr:uid="{00000000-0005-0000-0000-00000A080000}"/>
    <cellStyle name="Hipervínculo visitado 825" xfId="2059" xr:uid="{00000000-0005-0000-0000-00000B080000}"/>
    <cellStyle name="Hipervínculo visitado 826" xfId="2060" xr:uid="{00000000-0005-0000-0000-00000C080000}"/>
    <cellStyle name="Hipervínculo visitado 827" xfId="2061" xr:uid="{00000000-0005-0000-0000-00000D080000}"/>
    <cellStyle name="Hipervínculo visitado 828" xfId="2062" xr:uid="{00000000-0005-0000-0000-00000E080000}"/>
    <cellStyle name="Hipervínculo visitado 829" xfId="2063" xr:uid="{00000000-0005-0000-0000-00000F080000}"/>
    <cellStyle name="Hipervínculo visitado 83" xfId="2064" xr:uid="{00000000-0005-0000-0000-000010080000}"/>
    <cellStyle name="Hipervínculo visitado 830" xfId="2065" xr:uid="{00000000-0005-0000-0000-000011080000}"/>
    <cellStyle name="Hipervínculo visitado 831" xfId="2066" xr:uid="{00000000-0005-0000-0000-000012080000}"/>
    <cellStyle name="Hipervínculo visitado 832" xfId="2067" xr:uid="{00000000-0005-0000-0000-000013080000}"/>
    <cellStyle name="Hipervínculo visitado 833" xfId="2068" xr:uid="{00000000-0005-0000-0000-000014080000}"/>
    <cellStyle name="Hipervínculo visitado 834" xfId="2069" xr:uid="{00000000-0005-0000-0000-000015080000}"/>
    <cellStyle name="Hipervínculo visitado 835" xfId="2070" xr:uid="{00000000-0005-0000-0000-000016080000}"/>
    <cellStyle name="Hipervínculo visitado 836" xfId="2071" xr:uid="{00000000-0005-0000-0000-000017080000}"/>
    <cellStyle name="Hipervínculo visitado 837" xfId="2072" xr:uid="{00000000-0005-0000-0000-000018080000}"/>
    <cellStyle name="Hipervínculo visitado 838" xfId="2073" xr:uid="{00000000-0005-0000-0000-000019080000}"/>
    <cellStyle name="Hipervínculo visitado 839" xfId="2074" xr:uid="{00000000-0005-0000-0000-00001A080000}"/>
    <cellStyle name="Hipervínculo visitado 84" xfId="2075" xr:uid="{00000000-0005-0000-0000-00001B080000}"/>
    <cellStyle name="Hipervínculo visitado 840" xfId="2076" xr:uid="{00000000-0005-0000-0000-00001C080000}"/>
    <cellStyle name="Hipervínculo visitado 841" xfId="2077" xr:uid="{00000000-0005-0000-0000-00001D080000}"/>
    <cellStyle name="Hipervínculo visitado 842" xfId="2078" xr:uid="{00000000-0005-0000-0000-00001E080000}"/>
    <cellStyle name="Hipervínculo visitado 843" xfId="2079" xr:uid="{00000000-0005-0000-0000-00001F080000}"/>
    <cellStyle name="Hipervínculo visitado 844" xfId="2080" xr:uid="{00000000-0005-0000-0000-000020080000}"/>
    <cellStyle name="Hipervínculo visitado 845" xfId="2081" xr:uid="{00000000-0005-0000-0000-000021080000}"/>
    <cellStyle name="Hipervínculo visitado 846" xfId="2082" xr:uid="{00000000-0005-0000-0000-000022080000}"/>
    <cellStyle name="Hipervínculo visitado 847" xfId="2083" xr:uid="{00000000-0005-0000-0000-000023080000}"/>
    <cellStyle name="Hipervínculo visitado 848" xfId="2084" xr:uid="{00000000-0005-0000-0000-000024080000}"/>
    <cellStyle name="Hipervínculo visitado 849" xfId="2085" xr:uid="{00000000-0005-0000-0000-000025080000}"/>
    <cellStyle name="Hipervínculo visitado 85" xfId="2086" xr:uid="{00000000-0005-0000-0000-000026080000}"/>
    <cellStyle name="Hipervínculo visitado 850" xfId="2087" xr:uid="{00000000-0005-0000-0000-000027080000}"/>
    <cellStyle name="Hipervínculo visitado 851" xfId="2088" xr:uid="{00000000-0005-0000-0000-000028080000}"/>
    <cellStyle name="Hipervínculo visitado 852" xfId="2089" xr:uid="{00000000-0005-0000-0000-000029080000}"/>
    <cellStyle name="Hipervínculo visitado 853" xfId="2090" xr:uid="{00000000-0005-0000-0000-00002A080000}"/>
    <cellStyle name="Hipervínculo visitado 854" xfId="2091" xr:uid="{00000000-0005-0000-0000-00002B080000}"/>
    <cellStyle name="Hipervínculo visitado 855" xfId="2092" xr:uid="{00000000-0005-0000-0000-00002C080000}"/>
    <cellStyle name="Hipervínculo visitado 856" xfId="2093" xr:uid="{00000000-0005-0000-0000-00002D080000}"/>
    <cellStyle name="Hipervínculo visitado 857" xfId="2094" xr:uid="{00000000-0005-0000-0000-00002E080000}"/>
    <cellStyle name="Hipervínculo visitado 858" xfId="2095" xr:uid="{00000000-0005-0000-0000-00002F080000}"/>
    <cellStyle name="Hipervínculo visitado 859" xfId="2096" xr:uid="{00000000-0005-0000-0000-000030080000}"/>
    <cellStyle name="Hipervínculo visitado 86" xfId="2097" xr:uid="{00000000-0005-0000-0000-000031080000}"/>
    <cellStyle name="Hipervínculo visitado 860" xfId="2098" xr:uid="{00000000-0005-0000-0000-000032080000}"/>
    <cellStyle name="Hipervínculo visitado 861" xfId="2099" xr:uid="{00000000-0005-0000-0000-000033080000}"/>
    <cellStyle name="Hipervínculo visitado 862" xfId="2100" xr:uid="{00000000-0005-0000-0000-000034080000}"/>
    <cellStyle name="Hipervínculo visitado 863" xfId="2101" xr:uid="{00000000-0005-0000-0000-000035080000}"/>
    <cellStyle name="Hipervínculo visitado 864" xfId="2102" xr:uid="{00000000-0005-0000-0000-000036080000}"/>
    <cellStyle name="Hipervínculo visitado 865" xfId="2103" xr:uid="{00000000-0005-0000-0000-000037080000}"/>
    <cellStyle name="Hipervínculo visitado 87" xfId="2104" xr:uid="{00000000-0005-0000-0000-000038080000}"/>
    <cellStyle name="Hipervínculo visitado 88" xfId="2105" xr:uid="{00000000-0005-0000-0000-000039080000}"/>
    <cellStyle name="Hipervínculo visitado 89" xfId="2106" xr:uid="{00000000-0005-0000-0000-00003A080000}"/>
    <cellStyle name="Hipervínculo visitado 9" xfId="2107" xr:uid="{00000000-0005-0000-0000-00003B080000}"/>
    <cellStyle name="Hipervínculo visitado 90" xfId="2108" xr:uid="{00000000-0005-0000-0000-00003C080000}"/>
    <cellStyle name="Hipervínculo visitado 91" xfId="2109" xr:uid="{00000000-0005-0000-0000-00003D080000}"/>
    <cellStyle name="Hipervínculo visitado 92" xfId="2110" xr:uid="{00000000-0005-0000-0000-00003E080000}"/>
    <cellStyle name="Hipervínculo visitado 93" xfId="2111" xr:uid="{00000000-0005-0000-0000-00003F080000}"/>
    <cellStyle name="Hipervínculo visitado 94" xfId="2112" xr:uid="{00000000-0005-0000-0000-000040080000}"/>
    <cellStyle name="Hipervínculo visitado 95" xfId="2113" xr:uid="{00000000-0005-0000-0000-000041080000}"/>
    <cellStyle name="Hipervínculo visitado 96" xfId="2114" xr:uid="{00000000-0005-0000-0000-000042080000}"/>
    <cellStyle name="Hipervínculo visitado 97" xfId="2115" xr:uid="{00000000-0005-0000-0000-000043080000}"/>
    <cellStyle name="Hipervínculo visitado 98" xfId="2116" xr:uid="{00000000-0005-0000-0000-000044080000}"/>
    <cellStyle name="Hipervínculo visitado 99" xfId="2117" xr:uid="{00000000-0005-0000-0000-000045080000}"/>
    <cellStyle name="Incorrecto 2" xfId="2118" xr:uid="{00000000-0005-0000-0000-000046080000}"/>
    <cellStyle name="Incorrecto 3" xfId="2119" xr:uid="{00000000-0005-0000-0000-000047080000}"/>
    <cellStyle name="Millares 2" xfId="2120" xr:uid="{00000000-0005-0000-0000-000048080000}"/>
    <cellStyle name="Millares 3" xfId="2121" xr:uid="{00000000-0005-0000-0000-000049080000}"/>
    <cellStyle name="Millares 4" xfId="2122" xr:uid="{00000000-0005-0000-0000-00004A080000}"/>
    <cellStyle name="Millares 5" xfId="1170" xr:uid="{00000000-0005-0000-0000-00004B080000}"/>
    <cellStyle name="Neutral 2" xfId="2123" xr:uid="{00000000-0005-0000-0000-00004C080000}"/>
    <cellStyle name="Neutral 3" xfId="2124" xr:uid="{00000000-0005-0000-0000-00004D080000}"/>
    <cellStyle name="Normal" xfId="0" builtinId="0"/>
    <cellStyle name="Normal 10" xfId="1174" xr:uid="{00000000-0005-0000-0000-00004F080000}"/>
    <cellStyle name="Normal 10 2" xfId="2125" xr:uid="{00000000-0005-0000-0000-000050080000}"/>
    <cellStyle name="Normal 11" xfId="1169" xr:uid="{00000000-0005-0000-0000-000051080000}"/>
    <cellStyle name="Normal 2" xfId="132" xr:uid="{00000000-0005-0000-0000-000052080000}"/>
    <cellStyle name="Normal 2 2" xfId="1172" xr:uid="{00000000-0005-0000-0000-000053080000}"/>
    <cellStyle name="Normal 2 3" xfId="2126" xr:uid="{00000000-0005-0000-0000-000054080000}"/>
    <cellStyle name="Normal 2 4" xfId="2127" xr:uid="{00000000-0005-0000-0000-000055080000}"/>
    <cellStyle name="Normal 2 5" xfId="2128" xr:uid="{00000000-0005-0000-0000-000056080000}"/>
    <cellStyle name="Normal 2 6" xfId="2129" xr:uid="{00000000-0005-0000-0000-000057080000}"/>
    <cellStyle name="Normal 2 6 2" xfId="2130" xr:uid="{00000000-0005-0000-0000-000058080000}"/>
    <cellStyle name="Normal 2 7" xfId="1173" xr:uid="{00000000-0005-0000-0000-000059080000}"/>
    <cellStyle name="Normal 3" xfId="2131" xr:uid="{00000000-0005-0000-0000-00005A080000}"/>
    <cellStyle name="Normal 3 2" xfId="2132" xr:uid="{00000000-0005-0000-0000-00005B080000}"/>
    <cellStyle name="Normal 3 3" xfId="2133" xr:uid="{00000000-0005-0000-0000-00005C080000}"/>
    <cellStyle name="Normal 3 4" xfId="2134" xr:uid="{00000000-0005-0000-0000-00005D080000}"/>
    <cellStyle name="Normal 3 4 2" xfId="2135" xr:uid="{00000000-0005-0000-0000-00005E080000}"/>
    <cellStyle name="Normal 3 5" xfId="2136" xr:uid="{00000000-0005-0000-0000-00005F080000}"/>
    <cellStyle name="Normal 4" xfId="1175" xr:uid="{00000000-0005-0000-0000-000060080000}"/>
    <cellStyle name="Normal 5" xfId="2137" xr:uid="{00000000-0005-0000-0000-000061080000}"/>
    <cellStyle name="Normal 6" xfId="2138" xr:uid="{00000000-0005-0000-0000-000062080000}"/>
    <cellStyle name="Normal 7" xfId="2139" xr:uid="{00000000-0005-0000-0000-000063080000}"/>
    <cellStyle name="Normal 7 2" xfId="2140" xr:uid="{00000000-0005-0000-0000-000064080000}"/>
    <cellStyle name="Normal 7 3" xfId="2141" xr:uid="{00000000-0005-0000-0000-000065080000}"/>
    <cellStyle name="Normal 8" xfId="1171" xr:uid="{00000000-0005-0000-0000-000066080000}"/>
    <cellStyle name="Normal 8 2" xfId="2142" xr:uid="{00000000-0005-0000-0000-000067080000}"/>
    <cellStyle name="Normal 9" xfId="2143" xr:uid="{00000000-0005-0000-0000-000068080000}"/>
    <cellStyle name="Notas 2" xfId="2144" xr:uid="{00000000-0005-0000-0000-000069080000}"/>
    <cellStyle name="Notas 2 2" xfId="2145" xr:uid="{00000000-0005-0000-0000-00006A080000}"/>
    <cellStyle name="Notas 2 2 2" xfId="2146" xr:uid="{00000000-0005-0000-0000-00006B080000}"/>
    <cellStyle name="Notas 2 2 2 2" xfId="2215" xr:uid="{00000000-0005-0000-0000-00006C080000}"/>
    <cellStyle name="Notas 2 2 3" xfId="2214" xr:uid="{00000000-0005-0000-0000-00006D080000}"/>
    <cellStyle name="Notas 2 3" xfId="2147" xr:uid="{00000000-0005-0000-0000-00006E080000}"/>
    <cellStyle name="Notas 2 3 2" xfId="2148" xr:uid="{00000000-0005-0000-0000-00006F080000}"/>
    <cellStyle name="Notas 2 3 2 2" xfId="2217" xr:uid="{00000000-0005-0000-0000-000070080000}"/>
    <cellStyle name="Notas 2 3 3" xfId="2216" xr:uid="{00000000-0005-0000-0000-000071080000}"/>
    <cellStyle name="Notas 2 4" xfId="2149" xr:uid="{00000000-0005-0000-0000-000072080000}"/>
    <cellStyle name="Notas 2 4 2" xfId="2218" xr:uid="{00000000-0005-0000-0000-000073080000}"/>
    <cellStyle name="Notas 2 5" xfId="2213" xr:uid="{00000000-0005-0000-0000-000074080000}"/>
    <cellStyle name="Notas 3" xfId="2150" xr:uid="{00000000-0005-0000-0000-000075080000}"/>
    <cellStyle name="Notas 3 2" xfId="2151" xr:uid="{00000000-0005-0000-0000-000076080000}"/>
    <cellStyle name="Notas 3 2 2" xfId="2152" xr:uid="{00000000-0005-0000-0000-000077080000}"/>
    <cellStyle name="Notas 3 2 2 2" xfId="2221" xr:uid="{00000000-0005-0000-0000-000078080000}"/>
    <cellStyle name="Notas 3 2 3" xfId="2220" xr:uid="{00000000-0005-0000-0000-000079080000}"/>
    <cellStyle name="Notas 3 3" xfId="2153" xr:uid="{00000000-0005-0000-0000-00007A080000}"/>
    <cellStyle name="Notas 3 3 2" xfId="2222" xr:uid="{00000000-0005-0000-0000-00007B080000}"/>
    <cellStyle name="Notas 3 4" xfId="2219" xr:uid="{00000000-0005-0000-0000-00007C080000}"/>
    <cellStyle name="Notas 4" xfId="2154" xr:uid="{00000000-0005-0000-0000-00007D080000}"/>
    <cellStyle name="Notas 4 2" xfId="2155" xr:uid="{00000000-0005-0000-0000-00007E080000}"/>
    <cellStyle name="Notas 4 2 2" xfId="2224" xr:uid="{00000000-0005-0000-0000-00007F080000}"/>
    <cellStyle name="Notas 4 3" xfId="2223" xr:uid="{00000000-0005-0000-0000-000080080000}"/>
    <cellStyle name="Notas 5" xfId="2156" xr:uid="{00000000-0005-0000-0000-000081080000}"/>
    <cellStyle name="Notas 5 2" xfId="2225" xr:uid="{00000000-0005-0000-0000-000082080000}"/>
    <cellStyle name="Porcentaje" xfId="131" builtinId="5"/>
    <cellStyle name="Porcentaje 2" xfId="2157" xr:uid="{00000000-0005-0000-0000-000084080000}"/>
    <cellStyle name="Salida 2" xfId="2158" xr:uid="{00000000-0005-0000-0000-000085080000}"/>
    <cellStyle name="Salida 2 2" xfId="2159" xr:uid="{00000000-0005-0000-0000-000086080000}"/>
    <cellStyle name="Salida 2 2 2" xfId="2160" xr:uid="{00000000-0005-0000-0000-000087080000}"/>
    <cellStyle name="Salida 2 2 2 2" xfId="2203" xr:uid="{00000000-0005-0000-0000-000088080000}"/>
    <cellStyle name="Salida 2 2 3" xfId="2204" xr:uid="{00000000-0005-0000-0000-000089080000}"/>
    <cellStyle name="Salida 2 3" xfId="2161" xr:uid="{00000000-0005-0000-0000-00008A080000}"/>
    <cellStyle name="Salida 2 3 2" xfId="2202" xr:uid="{00000000-0005-0000-0000-00008B080000}"/>
    <cellStyle name="Salida 2 4" xfId="2205" xr:uid="{00000000-0005-0000-0000-00008C080000}"/>
    <cellStyle name="Salida 3" xfId="2162" xr:uid="{00000000-0005-0000-0000-00008D080000}"/>
    <cellStyle name="Salida 3 2" xfId="2163" xr:uid="{00000000-0005-0000-0000-00008E080000}"/>
    <cellStyle name="Salida 3 2 2" xfId="2164" xr:uid="{00000000-0005-0000-0000-00008F080000}"/>
    <cellStyle name="Salida 3 2 2 2" xfId="2199" xr:uid="{00000000-0005-0000-0000-000090080000}"/>
    <cellStyle name="Salida 3 2 3" xfId="2200" xr:uid="{00000000-0005-0000-0000-000091080000}"/>
    <cellStyle name="Salida 3 3" xfId="2165" xr:uid="{00000000-0005-0000-0000-000092080000}"/>
    <cellStyle name="Salida 3 3 2" xfId="2198" xr:uid="{00000000-0005-0000-0000-000093080000}"/>
    <cellStyle name="Salida 3 4" xfId="2201" xr:uid="{00000000-0005-0000-0000-000094080000}"/>
    <cellStyle name="Salida 4" xfId="2166" xr:uid="{00000000-0005-0000-0000-000095080000}"/>
    <cellStyle name="Salida 4 2" xfId="2197" xr:uid="{00000000-0005-0000-0000-000096080000}"/>
    <cellStyle name="Texto de advertencia 2" xfId="2167" xr:uid="{00000000-0005-0000-0000-000097080000}"/>
    <cellStyle name="Texto de advertencia 3" xfId="2168" xr:uid="{00000000-0005-0000-0000-000098080000}"/>
    <cellStyle name="Texto explicativo 2" xfId="2169" xr:uid="{00000000-0005-0000-0000-000099080000}"/>
    <cellStyle name="Texto explicativo 3" xfId="2170" xr:uid="{00000000-0005-0000-0000-00009A080000}"/>
    <cellStyle name="Título 1 2" xfId="2171" xr:uid="{00000000-0005-0000-0000-00009B080000}"/>
    <cellStyle name="Título 1 3" xfId="2172" xr:uid="{00000000-0005-0000-0000-00009C080000}"/>
    <cellStyle name="Título 2 2" xfId="2173" xr:uid="{00000000-0005-0000-0000-00009D080000}"/>
    <cellStyle name="Título 2 3" xfId="2174" xr:uid="{00000000-0005-0000-0000-00009E080000}"/>
    <cellStyle name="Título 3 2" xfId="2175" xr:uid="{00000000-0005-0000-0000-00009F080000}"/>
    <cellStyle name="Título 3 3" xfId="2176" xr:uid="{00000000-0005-0000-0000-0000A0080000}"/>
    <cellStyle name="Título 4" xfId="2177" xr:uid="{00000000-0005-0000-0000-0000A1080000}"/>
    <cellStyle name="Título 5" xfId="2178" xr:uid="{00000000-0005-0000-0000-0000A2080000}"/>
    <cellStyle name="Total 2" xfId="2179" xr:uid="{00000000-0005-0000-0000-0000A3080000}"/>
    <cellStyle name="Total 2 2" xfId="2180" xr:uid="{00000000-0005-0000-0000-0000A4080000}"/>
    <cellStyle name="Total 2 2 2" xfId="2181" xr:uid="{00000000-0005-0000-0000-0000A5080000}"/>
    <cellStyle name="Total 2 2 2 2" xfId="2194" xr:uid="{00000000-0005-0000-0000-0000A6080000}"/>
    <cellStyle name="Total 2 2 3" xfId="2195" xr:uid="{00000000-0005-0000-0000-0000A7080000}"/>
    <cellStyle name="Total 2 3" xfId="2182" xr:uid="{00000000-0005-0000-0000-0000A8080000}"/>
    <cellStyle name="Total 2 3 2" xfId="2193" xr:uid="{00000000-0005-0000-0000-0000A9080000}"/>
    <cellStyle name="Total 2 4" xfId="2196" xr:uid="{00000000-0005-0000-0000-0000AA080000}"/>
    <cellStyle name="Total 3" xfId="2183" xr:uid="{00000000-0005-0000-0000-0000AB080000}"/>
    <cellStyle name="Total 3 2" xfId="2184" xr:uid="{00000000-0005-0000-0000-0000AC080000}"/>
    <cellStyle name="Total 3 2 2" xfId="2185" xr:uid="{00000000-0005-0000-0000-0000AD080000}"/>
    <cellStyle name="Total 3 2 2 2" xfId="2190" xr:uid="{00000000-0005-0000-0000-0000AE080000}"/>
    <cellStyle name="Total 3 2 3" xfId="2191" xr:uid="{00000000-0005-0000-0000-0000AF080000}"/>
    <cellStyle name="Total 3 3" xfId="2186" xr:uid="{00000000-0005-0000-0000-0000B0080000}"/>
    <cellStyle name="Total 3 3 2" xfId="2189" xr:uid="{00000000-0005-0000-0000-0000B1080000}"/>
    <cellStyle name="Total 3 4" xfId="2192" xr:uid="{00000000-0005-0000-0000-0000B2080000}"/>
    <cellStyle name="Total 4" xfId="2187" xr:uid="{00000000-0005-0000-0000-0000B3080000}"/>
    <cellStyle name="Total 4 2" xfId="2188" xr:uid="{00000000-0005-0000-0000-0000B4080000}"/>
  </cellStyles>
  <dxfs count="0"/>
  <tableStyles count="0" defaultTableStyle="TableStyleMedium9" defaultPivotStyle="PivotStyleMedium4"/>
  <colors>
    <mruColors>
      <color rgb="FFABE3FF"/>
      <color rgb="FF69CDFF"/>
      <color rgb="FF11C1FF"/>
      <color rgb="FF00A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0</xdr:row>
      <xdr:rowOff>139699</xdr:rowOff>
    </xdr:from>
    <xdr:to>
      <xdr:col>2</xdr:col>
      <xdr:colOff>1026160</xdr:colOff>
      <xdr:row>3</xdr:row>
      <xdr:rowOff>77524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9699"/>
          <a:ext cx="1028700" cy="814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0</xdr:row>
      <xdr:rowOff>203200</xdr:rowOff>
    </xdr:from>
    <xdr:to>
      <xdr:col>3</xdr:col>
      <xdr:colOff>295</xdr:colOff>
      <xdr:row>3</xdr:row>
      <xdr:rowOff>50800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" y="203200"/>
          <a:ext cx="914695" cy="723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117804</xdr:rowOff>
    </xdr:from>
    <xdr:to>
      <xdr:col>2</xdr:col>
      <xdr:colOff>1154766</xdr:colOff>
      <xdr:row>2</xdr:row>
      <xdr:rowOff>272144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117804"/>
          <a:ext cx="938866" cy="72886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2</xdr:col>
      <xdr:colOff>1164024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411" y="117803"/>
          <a:ext cx="957649" cy="7738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215901</xdr:colOff>
      <xdr:row>0</xdr:row>
      <xdr:rowOff>117804</xdr:rowOff>
    </xdr:from>
    <xdr:to>
      <xdr:col>2</xdr:col>
      <xdr:colOff>1158615</xdr:colOff>
      <xdr:row>3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741" y="117804"/>
          <a:ext cx="942714" cy="76022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2</xdr:col>
      <xdr:colOff>1126824</xdr:colOff>
      <xdr:row>2</xdr:row>
      <xdr:rowOff>254000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140" y="117803"/>
          <a:ext cx="910924" cy="72547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215901</xdr:colOff>
      <xdr:row>0</xdr:row>
      <xdr:rowOff>117803</xdr:rowOff>
    </xdr:from>
    <xdr:to>
      <xdr:col>2</xdr:col>
      <xdr:colOff>1132847</xdr:colOff>
      <xdr:row>2</xdr:row>
      <xdr:rowOff>254000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446" y="117803"/>
          <a:ext cx="916946" cy="71347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7083</xdr:colOff>
      <xdr:row>3</xdr:row>
      <xdr:rowOff>30480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140" y="117803"/>
          <a:ext cx="1000223" cy="7965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117804</xdr:rowOff>
    </xdr:from>
    <xdr:to>
      <xdr:col>2</xdr:col>
      <xdr:colOff>1148080</xdr:colOff>
      <xdr:row>2</xdr:row>
      <xdr:rowOff>270930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140" y="117804"/>
          <a:ext cx="932180" cy="74240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130503</xdr:rowOff>
    </xdr:from>
    <xdr:to>
      <xdr:col>3</xdr:col>
      <xdr:colOff>990600</xdr:colOff>
      <xdr:row>3</xdr:row>
      <xdr:rowOff>229142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130503"/>
          <a:ext cx="1231900" cy="97493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15953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117803"/>
          <a:ext cx="1006553" cy="7965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0</xdr:row>
      <xdr:rowOff>190500</xdr:rowOff>
    </xdr:from>
    <xdr:to>
      <xdr:col>3</xdr:col>
      <xdr:colOff>0</xdr:colOff>
      <xdr:row>3</xdr:row>
      <xdr:rowOff>99059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00" y="190500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2</xdr:col>
      <xdr:colOff>1174311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117803"/>
          <a:ext cx="958411" cy="75849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2</xdr:col>
      <xdr:colOff>1126169</xdr:colOff>
      <xdr:row>2</xdr:row>
      <xdr:rowOff>254000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117803"/>
          <a:ext cx="910269" cy="72039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2</xdr:col>
      <xdr:colOff>1173549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B3C947-8F72-384F-9C26-20E64FC2E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117803"/>
          <a:ext cx="957649" cy="75849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105103</xdr:rowOff>
    </xdr:from>
    <xdr:to>
      <xdr:col>2</xdr:col>
      <xdr:colOff>1117600</xdr:colOff>
      <xdr:row>3</xdr:row>
      <xdr:rowOff>113284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05103"/>
          <a:ext cx="1117600" cy="88448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21958</xdr:colOff>
      <xdr:row>3</xdr:row>
      <xdr:rowOff>12700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117803"/>
          <a:ext cx="974458" cy="77119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</xdr:colOff>
      <xdr:row>0</xdr:row>
      <xdr:rowOff>342901</xdr:rowOff>
    </xdr:from>
    <xdr:to>
      <xdr:col>3</xdr:col>
      <xdr:colOff>8368</xdr:colOff>
      <xdr:row>3</xdr:row>
      <xdr:rowOff>38101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342901"/>
          <a:ext cx="1075168" cy="850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0</xdr:row>
      <xdr:rowOff>190500</xdr:rowOff>
    </xdr:from>
    <xdr:to>
      <xdr:col>3</xdr:col>
      <xdr:colOff>0</xdr:colOff>
      <xdr:row>3</xdr:row>
      <xdr:rowOff>99059</xdr:rowOff>
    </xdr:to>
    <xdr:pic>
      <xdr:nvPicPr>
        <xdr:cNvPr id="3" name="Picture 1" descr="logo-administrativ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00" y="190500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7701" y="160021"/>
          <a:ext cx="990600" cy="77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3101" y="160021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0</xdr:row>
      <xdr:rowOff>117803</xdr:rowOff>
    </xdr:from>
    <xdr:to>
      <xdr:col>3</xdr:col>
      <xdr:colOff>8403</xdr:colOff>
      <xdr:row>3</xdr:row>
      <xdr:rowOff>13655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728" y="117803"/>
          <a:ext cx="968892" cy="756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3101" y="160021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3101" y="160021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0</xdr:row>
      <xdr:rowOff>160021</xdr:rowOff>
    </xdr:from>
    <xdr:to>
      <xdr:col>2</xdr:col>
      <xdr:colOff>1104901</xdr:colOff>
      <xdr:row>3</xdr:row>
      <xdr:rowOff>68580</xdr:rowOff>
    </xdr:to>
    <xdr:pic>
      <xdr:nvPicPr>
        <xdr:cNvPr id="2" name="Picture 1" descr="logo-administrativ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1" y="160021"/>
          <a:ext cx="990600" cy="784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162"/>
  <sheetViews>
    <sheetView tabSelected="1" zoomScale="108" workbookViewId="0">
      <selection activeCell="D14" sqref="D14:F14"/>
    </sheetView>
  </sheetViews>
  <sheetFormatPr baseColWidth="10" defaultColWidth="10.7109375" defaultRowHeight="16" x14ac:dyDescent="0.2"/>
  <cols>
    <col min="1" max="1" width="3.28515625" style="4" customWidth="1"/>
    <col min="2" max="2" width="3.42578125" style="2" customWidth="1"/>
    <col min="3" max="3" width="12.28515625" style="4" customWidth="1"/>
    <col min="4" max="13" width="10.7109375" style="4"/>
    <col min="14" max="14" width="3.28515625" style="2" customWidth="1"/>
    <col min="15" max="17" width="10.7109375" style="2"/>
    <col min="18" max="16384" width="10.7109375" style="4"/>
  </cols>
  <sheetData>
    <row r="1" spans="2:37" s="2" customFormat="1" ht="23" customHeight="1" x14ac:dyDescent="0.2">
      <c r="D1" s="3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</row>
    <row r="2" spans="2:37" s="2" customFormat="1" ht="23" customHeight="1" x14ac:dyDescent="0.2">
      <c r="D2" s="1247" t="s">
        <v>1002</v>
      </c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</row>
    <row r="3" spans="2:37" s="2" customFormat="1" ht="23" customHeight="1" x14ac:dyDescent="0.2">
      <c r="D3" s="62" t="s">
        <v>31</v>
      </c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</row>
    <row r="4" spans="2:37" s="2" customFormat="1" ht="23" customHeight="1" thickBot="1" x14ac:dyDescent="0.25">
      <c r="O4" s="961"/>
      <c r="P4" s="961"/>
      <c r="Q4" s="961"/>
      <c r="R4" s="961"/>
      <c r="S4" s="961"/>
      <c r="T4" s="961"/>
      <c r="U4" s="961"/>
      <c r="V4" s="961"/>
      <c r="W4" s="961"/>
      <c r="X4" s="961"/>
      <c r="Y4" s="961"/>
    </row>
    <row r="5" spans="2:37" s="2" customFormat="1" ht="9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961"/>
      <c r="P5" s="961"/>
      <c r="Q5" s="961"/>
      <c r="R5" s="961"/>
      <c r="S5" s="961"/>
      <c r="T5" s="961"/>
      <c r="U5" s="961"/>
      <c r="V5" s="961"/>
      <c r="W5" s="961"/>
      <c r="X5" s="961"/>
      <c r="Y5" s="961"/>
    </row>
    <row r="6" spans="2:37" s="2" customFormat="1" ht="30" customHeight="1" x14ac:dyDescent="0.2">
      <c r="B6" s="8"/>
      <c r="C6" s="1" t="s">
        <v>0</v>
      </c>
      <c r="D6" s="3"/>
      <c r="E6" s="3"/>
      <c r="F6" s="3"/>
      <c r="G6" s="3"/>
      <c r="H6" s="3"/>
      <c r="I6" s="3"/>
      <c r="J6" s="3"/>
      <c r="K6" s="3"/>
      <c r="L6" s="3"/>
      <c r="M6" s="1362">
        <f>ejercicio</f>
        <v>2020</v>
      </c>
      <c r="N6" s="9"/>
      <c r="O6" s="961"/>
      <c r="P6" s="961"/>
      <c r="Q6" s="961"/>
      <c r="R6" s="961"/>
      <c r="S6" s="961"/>
      <c r="T6" s="961"/>
      <c r="U6" s="961"/>
      <c r="V6" s="961"/>
      <c r="W6" s="961"/>
      <c r="X6" s="961"/>
      <c r="Y6" s="961"/>
    </row>
    <row r="7" spans="2:37" s="2" customFormat="1" ht="30" customHeight="1" x14ac:dyDescent="0.2">
      <c r="B7" s="8"/>
      <c r="C7" s="1" t="s">
        <v>1</v>
      </c>
      <c r="D7" s="3"/>
      <c r="E7" s="3"/>
      <c r="F7" s="3"/>
      <c r="G7" s="3"/>
      <c r="H7" s="3"/>
      <c r="I7" s="3"/>
      <c r="J7" s="3"/>
      <c r="K7" s="10"/>
      <c r="L7" s="3"/>
      <c r="M7" s="1362"/>
      <c r="N7" s="9"/>
      <c r="O7" s="961"/>
      <c r="P7" s="961"/>
      <c r="Q7" s="961"/>
      <c r="R7" s="961"/>
      <c r="S7" s="961"/>
      <c r="T7" s="961"/>
      <c r="U7" s="961"/>
      <c r="V7" s="961"/>
      <c r="W7" s="961"/>
      <c r="X7" s="961"/>
      <c r="Y7" s="961"/>
    </row>
    <row r="8" spans="2:37" s="2" customFormat="1" ht="30" customHeight="1" x14ac:dyDescent="0.2">
      <c r="B8" s="8"/>
      <c r="N8" s="9"/>
      <c r="O8" s="961"/>
      <c r="P8" s="961"/>
      <c r="Q8" s="961"/>
      <c r="R8" s="961"/>
      <c r="S8" s="961"/>
      <c r="T8" s="961"/>
      <c r="U8" s="961"/>
      <c r="V8" s="961"/>
      <c r="W8" s="961"/>
      <c r="X8" s="961"/>
      <c r="Y8" s="961"/>
    </row>
    <row r="9" spans="2:37" s="2" customFormat="1" ht="30" customHeight="1" x14ac:dyDescent="0.2">
      <c r="B9" s="8"/>
      <c r="N9" s="9"/>
      <c r="O9" s="961"/>
      <c r="P9" s="961"/>
      <c r="Q9" s="962"/>
      <c r="R9" s="962"/>
      <c r="S9" s="962"/>
      <c r="T9" s="962"/>
      <c r="U9" s="961"/>
      <c r="V9" s="961"/>
      <c r="W9" s="961"/>
      <c r="X9" s="961"/>
      <c r="Y9" s="961"/>
    </row>
    <row r="10" spans="2:37" s="2" customFormat="1" ht="7.25" customHeight="1" x14ac:dyDescent="0.2">
      <c r="B10" s="8"/>
      <c r="N10" s="9"/>
      <c r="O10" s="961"/>
      <c r="P10" s="961"/>
      <c r="Q10" s="962"/>
      <c r="R10" s="962"/>
      <c r="S10" s="962"/>
      <c r="T10" s="962"/>
      <c r="U10" s="961"/>
      <c r="V10" s="961"/>
      <c r="W10" s="961"/>
      <c r="X10" s="961"/>
      <c r="Y10" s="961"/>
    </row>
    <row r="11" spans="2:37" ht="30" customHeight="1" x14ac:dyDescent="0.2">
      <c r="B11" s="8"/>
      <c r="C11" s="11" t="s">
        <v>32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9"/>
      <c r="O11" s="963"/>
      <c r="P11" s="961"/>
      <c r="Q11" s="962"/>
      <c r="R11" s="962"/>
      <c r="S11" s="962"/>
      <c r="T11" s="962"/>
      <c r="U11" s="961"/>
      <c r="V11" s="961"/>
      <c r="W11" s="961"/>
      <c r="X11" s="961"/>
      <c r="Y11" s="961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2:37" s="2" customFormat="1" ht="30" customHeight="1" x14ac:dyDescent="0.2">
      <c r="B12" s="8"/>
      <c r="N12" s="9"/>
      <c r="O12" s="961"/>
      <c r="P12" s="961"/>
      <c r="Q12" s="962"/>
      <c r="R12" s="962"/>
      <c r="S12" s="962"/>
      <c r="T12" s="962"/>
      <c r="U12" s="961"/>
      <c r="V12" s="961"/>
      <c r="W12" s="961"/>
      <c r="X12" s="961"/>
      <c r="Y12" s="961"/>
    </row>
    <row r="13" spans="2:37" s="15" customFormat="1" ht="30" customHeight="1" x14ac:dyDescent="0.2">
      <c r="B13" s="8"/>
      <c r="C13" s="277" t="s">
        <v>33</v>
      </c>
      <c r="D13" s="1363" t="s">
        <v>1095</v>
      </c>
      <c r="E13" s="1364"/>
      <c r="F13" s="1364"/>
      <c r="G13" s="1364"/>
      <c r="H13" s="1364"/>
      <c r="I13" s="1364"/>
      <c r="J13" s="1364"/>
      <c r="K13" s="1364"/>
      <c r="L13" s="1364"/>
      <c r="M13" s="1365"/>
      <c r="N13" s="9"/>
      <c r="O13" s="964"/>
      <c r="P13" s="964"/>
      <c r="Q13" s="965"/>
      <c r="R13" s="965"/>
      <c r="S13" s="965"/>
      <c r="T13" s="965"/>
      <c r="U13" s="964"/>
      <c r="V13" s="964"/>
      <c r="W13" s="964"/>
      <c r="X13" s="964"/>
      <c r="Y13" s="964"/>
    </row>
    <row r="14" spans="2:37" s="15" customFormat="1" ht="30" customHeight="1" x14ac:dyDescent="0.2">
      <c r="B14" s="8"/>
      <c r="C14" s="277" t="s">
        <v>942</v>
      </c>
      <c r="D14" s="1363" t="s">
        <v>944</v>
      </c>
      <c r="E14" s="1364"/>
      <c r="F14" s="1365"/>
      <c r="G14" s="404"/>
      <c r="H14" s="404"/>
      <c r="I14" s="14"/>
      <c r="J14" s="14"/>
      <c r="K14" s="14"/>
      <c r="L14" s="14"/>
      <c r="M14" s="14"/>
      <c r="N14" s="9"/>
      <c r="O14" s="964"/>
      <c r="P14" s="964"/>
      <c r="Q14" s="965"/>
      <c r="R14" s="965"/>
      <c r="S14" s="966" t="s">
        <v>943</v>
      </c>
      <c r="T14" s="965"/>
      <c r="U14" s="964"/>
      <c r="V14" s="964"/>
      <c r="W14" s="964"/>
      <c r="X14" s="964"/>
      <c r="Y14" s="964"/>
    </row>
    <row r="15" spans="2:37" s="2" customFormat="1" ht="30" customHeight="1" x14ac:dyDescent="0.2">
      <c r="B15" s="8"/>
      <c r="C15" s="277" t="s">
        <v>34</v>
      </c>
      <c r="D15" s="541">
        <v>2020</v>
      </c>
      <c r="E15" s="14"/>
      <c r="F15" s="14"/>
      <c r="G15" s="404"/>
      <c r="H15" s="404"/>
      <c r="I15" s="14"/>
      <c r="J15" s="14"/>
      <c r="K15" s="14"/>
      <c r="L15" s="14"/>
      <c r="M15" s="14"/>
      <c r="N15" s="9"/>
      <c r="O15" s="961"/>
      <c r="P15" s="961"/>
      <c r="Q15" s="962"/>
      <c r="R15" s="962"/>
      <c r="S15" s="967" t="s">
        <v>944</v>
      </c>
      <c r="T15" s="962"/>
      <c r="U15" s="961"/>
      <c r="V15" s="961"/>
      <c r="W15" s="961"/>
      <c r="X15" s="961"/>
      <c r="Y15" s="961"/>
    </row>
    <row r="16" spans="2:37" s="2" customFormat="1" ht="30" customHeight="1" x14ac:dyDescent="0.2">
      <c r="B16" s="8"/>
      <c r="C16" s="12"/>
      <c r="D16" s="1366"/>
      <c r="E16" s="1366"/>
      <c r="F16" s="1366"/>
      <c r="G16" s="1366"/>
      <c r="H16" s="1366"/>
      <c r="I16" s="1366"/>
      <c r="J16" s="1366"/>
      <c r="K16" s="1366"/>
      <c r="L16" s="1366"/>
      <c r="M16" s="1366"/>
      <c r="N16" s="9"/>
      <c r="O16" s="961"/>
      <c r="P16" s="961"/>
      <c r="Q16" s="962"/>
      <c r="R16" s="962"/>
      <c r="S16" s="962"/>
      <c r="T16" s="962"/>
      <c r="U16" s="961"/>
      <c r="V16" s="961"/>
      <c r="W16" s="961"/>
      <c r="X16" s="961"/>
      <c r="Y16" s="961"/>
    </row>
    <row r="17" spans="2:25" s="2" customFormat="1" ht="30" customHeight="1" x14ac:dyDescent="0.2">
      <c r="B17" s="8"/>
      <c r="C17" s="278" t="s">
        <v>65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9"/>
      <c r="O17" s="961"/>
      <c r="P17" s="961"/>
      <c r="Q17" s="962"/>
      <c r="R17" s="962"/>
      <c r="S17" s="962"/>
      <c r="T17" s="962"/>
      <c r="U17" s="961"/>
      <c r="V17" s="961"/>
      <c r="W17" s="961"/>
      <c r="X17" s="961"/>
      <c r="Y17" s="961"/>
    </row>
    <row r="18" spans="2:25" s="2" customFormat="1" ht="9" customHeight="1" x14ac:dyDescent="0.2">
      <c r="B18" s="8"/>
      <c r="C18" s="12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9"/>
      <c r="O18" s="961"/>
      <c r="P18" s="961"/>
      <c r="Q18" s="962"/>
      <c r="R18" s="962"/>
      <c r="S18" s="962"/>
      <c r="T18" s="962"/>
      <c r="U18" s="961"/>
      <c r="V18" s="961"/>
      <c r="W18" s="961"/>
      <c r="X18" s="961"/>
      <c r="Y18" s="961"/>
    </row>
    <row r="19" spans="2:25" s="2" customFormat="1" ht="25.25" customHeight="1" x14ac:dyDescent="0.2">
      <c r="B19" s="8"/>
      <c r="C19" s="2" t="s">
        <v>36</v>
      </c>
      <c r="D19" s="2" t="s">
        <v>37</v>
      </c>
      <c r="N19" s="9"/>
      <c r="O19" s="961"/>
      <c r="P19" s="961"/>
      <c r="Q19" s="962"/>
      <c r="R19" s="962"/>
      <c r="S19" s="962"/>
      <c r="T19" s="962"/>
      <c r="U19" s="961"/>
      <c r="V19" s="961"/>
      <c r="W19" s="961"/>
      <c r="X19" s="961"/>
      <c r="Y19" s="961"/>
    </row>
    <row r="20" spans="2:25" s="2" customFormat="1" ht="25.25" customHeight="1" x14ac:dyDescent="0.2">
      <c r="B20" s="8"/>
      <c r="C20" s="2" t="s">
        <v>38</v>
      </c>
      <c r="D20" s="2" t="s">
        <v>39</v>
      </c>
      <c r="N20" s="9"/>
      <c r="O20" s="961"/>
      <c r="P20" s="961"/>
      <c r="Q20" s="962"/>
      <c r="R20" s="962"/>
      <c r="S20" s="962"/>
      <c r="T20" s="962"/>
      <c r="U20" s="961"/>
      <c r="V20" s="961"/>
      <c r="W20" s="961"/>
      <c r="X20" s="961"/>
      <c r="Y20" s="961"/>
    </row>
    <row r="21" spans="2:25" s="2" customFormat="1" ht="25.25" customHeight="1" x14ac:dyDescent="0.2">
      <c r="B21" s="8"/>
      <c r="C21" s="2" t="s">
        <v>40</v>
      </c>
      <c r="D21" s="2" t="s">
        <v>41</v>
      </c>
      <c r="N21" s="9"/>
      <c r="O21" s="961"/>
      <c r="P21" s="961"/>
      <c r="Q21" s="962"/>
      <c r="R21" s="962"/>
      <c r="S21" s="962"/>
      <c r="T21" s="962"/>
      <c r="U21" s="961"/>
      <c r="V21" s="961"/>
      <c r="W21" s="961"/>
      <c r="X21" s="961"/>
      <c r="Y21" s="961"/>
    </row>
    <row r="22" spans="2:25" s="2" customFormat="1" ht="25.25" customHeight="1" x14ac:dyDescent="0.2">
      <c r="B22" s="8"/>
      <c r="C22" s="2" t="s">
        <v>46</v>
      </c>
      <c r="D22" s="2" t="s">
        <v>47</v>
      </c>
      <c r="N22" s="9"/>
      <c r="O22" s="961"/>
      <c r="P22" s="961"/>
      <c r="Q22" s="962"/>
      <c r="R22" s="962"/>
      <c r="S22" s="962"/>
      <c r="T22" s="962"/>
      <c r="U22" s="961"/>
      <c r="V22" s="961"/>
      <c r="W22" s="961"/>
      <c r="X22" s="961"/>
      <c r="Y22" s="961"/>
    </row>
    <row r="23" spans="2:25" s="2" customFormat="1" ht="25.25" customHeight="1" x14ac:dyDescent="0.2">
      <c r="B23" s="8"/>
      <c r="C23" s="2" t="s">
        <v>42</v>
      </c>
      <c r="D23" s="280" t="s">
        <v>648</v>
      </c>
      <c r="N23" s="9"/>
      <c r="O23" s="961"/>
      <c r="P23" s="961"/>
      <c r="Q23" s="962"/>
      <c r="R23" s="962"/>
      <c r="S23" s="962"/>
      <c r="T23" s="962"/>
      <c r="U23" s="961"/>
      <c r="V23" s="961"/>
      <c r="W23" s="961"/>
      <c r="X23" s="961"/>
      <c r="Y23" s="961"/>
    </row>
    <row r="24" spans="2:25" s="2" customFormat="1" ht="25.25" customHeight="1" x14ac:dyDescent="0.2">
      <c r="B24" s="8"/>
      <c r="C24" s="2" t="s">
        <v>43</v>
      </c>
      <c r="D24" s="2" t="s">
        <v>44</v>
      </c>
      <c r="N24" s="9"/>
      <c r="O24" s="961"/>
      <c r="P24" s="961"/>
      <c r="Q24" s="961"/>
      <c r="R24" s="961"/>
      <c r="S24" s="961"/>
      <c r="T24" s="961"/>
      <c r="U24" s="961"/>
      <c r="V24" s="961"/>
      <c r="W24" s="961"/>
      <c r="X24" s="961"/>
      <c r="Y24" s="961"/>
    </row>
    <row r="25" spans="2:25" s="2" customFormat="1" ht="25.25" customHeight="1" x14ac:dyDescent="0.2">
      <c r="B25" s="8"/>
      <c r="C25" s="2" t="s">
        <v>45</v>
      </c>
      <c r="D25" s="2" t="s">
        <v>48</v>
      </c>
      <c r="N25" s="9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</row>
    <row r="26" spans="2:25" s="2" customFormat="1" ht="25.25" customHeight="1" x14ac:dyDescent="0.2">
      <c r="B26" s="8"/>
      <c r="C26" s="2" t="s">
        <v>49</v>
      </c>
      <c r="D26" s="2" t="s">
        <v>50</v>
      </c>
      <c r="N26" s="9"/>
      <c r="O26" s="961"/>
      <c r="P26" s="961"/>
      <c r="Q26" s="961"/>
      <c r="R26" s="961"/>
      <c r="S26" s="961"/>
      <c r="T26" s="961"/>
      <c r="U26" s="961"/>
      <c r="V26" s="961"/>
      <c r="W26" s="961"/>
      <c r="X26" s="961"/>
      <c r="Y26" s="961"/>
    </row>
    <row r="27" spans="2:25" s="2" customFormat="1" ht="25.25" customHeight="1" x14ac:dyDescent="0.2">
      <c r="B27" s="8"/>
      <c r="C27" s="2" t="s">
        <v>51</v>
      </c>
      <c r="D27" s="2" t="s">
        <v>52</v>
      </c>
      <c r="N27" s="9"/>
      <c r="O27" s="961"/>
      <c r="P27" s="961"/>
      <c r="Q27" s="961"/>
      <c r="R27" s="961"/>
      <c r="S27" s="961"/>
      <c r="T27" s="961"/>
      <c r="U27" s="961"/>
      <c r="V27" s="961"/>
      <c r="W27" s="961"/>
      <c r="X27" s="961"/>
      <c r="Y27" s="961"/>
    </row>
    <row r="28" spans="2:25" s="2" customFormat="1" ht="25.25" customHeight="1" x14ac:dyDescent="0.2">
      <c r="B28" s="8"/>
      <c r="C28" s="2" t="s">
        <v>53</v>
      </c>
      <c r="D28" s="2" t="s">
        <v>54</v>
      </c>
      <c r="N28" s="9"/>
      <c r="O28" s="961"/>
      <c r="P28" s="961"/>
      <c r="Q28" s="961"/>
      <c r="R28" s="961"/>
      <c r="S28" s="961"/>
      <c r="T28" s="961"/>
      <c r="U28" s="961"/>
      <c r="V28" s="961"/>
      <c r="W28" s="961"/>
      <c r="X28" s="961"/>
      <c r="Y28" s="961"/>
    </row>
    <row r="29" spans="2:25" s="2" customFormat="1" ht="25.25" customHeight="1" x14ac:dyDescent="0.2">
      <c r="B29" s="8"/>
      <c r="C29" s="2" t="s">
        <v>55</v>
      </c>
      <c r="D29" s="405" t="s">
        <v>674</v>
      </c>
      <c r="N29" s="9"/>
      <c r="O29" s="961"/>
      <c r="P29" s="961"/>
      <c r="Q29" s="961"/>
      <c r="R29" s="961"/>
      <c r="S29" s="961"/>
      <c r="T29" s="961"/>
      <c r="U29" s="961"/>
      <c r="V29" s="961"/>
      <c r="W29" s="961"/>
      <c r="X29" s="961"/>
      <c r="Y29" s="961"/>
    </row>
    <row r="30" spans="2:25" s="2" customFormat="1" ht="25.25" customHeight="1" x14ac:dyDescent="0.2">
      <c r="B30" s="8"/>
      <c r="C30" s="2" t="s">
        <v>57</v>
      </c>
      <c r="D30" s="2" t="s">
        <v>56</v>
      </c>
      <c r="N30" s="9"/>
      <c r="O30" s="961"/>
      <c r="P30" s="961"/>
      <c r="Q30" s="961"/>
      <c r="R30" s="961"/>
      <c r="S30" s="961"/>
      <c r="T30" s="961"/>
      <c r="U30" s="961"/>
      <c r="V30" s="961"/>
      <c r="W30" s="961"/>
      <c r="X30" s="961"/>
      <c r="Y30" s="961"/>
    </row>
    <row r="31" spans="2:25" s="2" customFormat="1" ht="25.25" customHeight="1" x14ac:dyDescent="0.2">
      <c r="B31" s="8"/>
      <c r="C31" s="2" t="s">
        <v>59</v>
      </c>
      <c r="D31" s="2" t="s">
        <v>58</v>
      </c>
      <c r="N31" s="9"/>
      <c r="O31" s="961"/>
      <c r="P31" s="961"/>
      <c r="Q31" s="961"/>
      <c r="R31" s="961"/>
      <c r="S31" s="961"/>
      <c r="T31" s="961"/>
      <c r="U31" s="961"/>
      <c r="V31" s="961"/>
      <c r="W31" s="961"/>
      <c r="X31" s="961"/>
      <c r="Y31" s="961"/>
    </row>
    <row r="32" spans="2:25" s="2" customFormat="1" ht="25.25" customHeight="1" x14ac:dyDescent="0.2">
      <c r="B32" s="8"/>
      <c r="C32" s="405" t="s">
        <v>60</v>
      </c>
      <c r="D32" s="2" t="s">
        <v>61</v>
      </c>
      <c r="N32" s="9"/>
      <c r="O32" s="961"/>
      <c r="P32" s="961"/>
      <c r="Q32" s="961"/>
      <c r="R32" s="961"/>
      <c r="S32" s="961"/>
      <c r="T32" s="961"/>
      <c r="U32" s="961"/>
      <c r="V32" s="961"/>
      <c r="W32" s="961"/>
      <c r="X32" s="961"/>
      <c r="Y32" s="961"/>
    </row>
    <row r="33" spans="2:25" s="2" customFormat="1" ht="25.25" customHeight="1" x14ac:dyDescent="0.2">
      <c r="B33" s="8"/>
      <c r="C33" s="405" t="s">
        <v>670</v>
      </c>
      <c r="D33" s="2" t="s">
        <v>63</v>
      </c>
      <c r="N33" s="9"/>
      <c r="O33" s="961"/>
      <c r="P33" s="961"/>
      <c r="Q33" s="961"/>
      <c r="R33" s="961"/>
      <c r="S33" s="961"/>
      <c r="T33" s="961"/>
      <c r="U33" s="961"/>
      <c r="V33" s="961"/>
      <c r="W33" s="961"/>
      <c r="X33" s="961"/>
      <c r="Y33" s="961"/>
    </row>
    <row r="34" spans="2:25" s="2" customFormat="1" ht="25.25" customHeight="1" x14ac:dyDescent="0.2">
      <c r="B34" s="8"/>
      <c r="C34" s="405" t="s">
        <v>671</v>
      </c>
      <c r="D34" s="959" t="s">
        <v>1015</v>
      </c>
      <c r="N34" s="9"/>
      <c r="O34" s="961"/>
      <c r="P34" s="961"/>
      <c r="Q34" s="961"/>
      <c r="R34" s="961"/>
      <c r="S34" s="961"/>
      <c r="T34" s="961"/>
      <c r="U34" s="961"/>
      <c r="V34" s="961"/>
      <c r="W34" s="961"/>
      <c r="X34" s="961"/>
      <c r="Y34" s="961"/>
    </row>
    <row r="35" spans="2:25" s="2" customFormat="1" ht="25.25" customHeight="1" x14ac:dyDescent="0.2">
      <c r="B35" s="8"/>
      <c r="C35" s="405" t="s">
        <v>672</v>
      </c>
      <c r="D35" s="2" t="s">
        <v>64</v>
      </c>
      <c r="N35" s="9"/>
      <c r="O35" s="961"/>
      <c r="P35" s="961"/>
      <c r="Q35" s="961"/>
      <c r="R35" s="961"/>
      <c r="S35" s="961"/>
      <c r="T35" s="961"/>
      <c r="U35" s="961"/>
      <c r="V35" s="961"/>
      <c r="W35" s="961"/>
      <c r="X35" s="961"/>
      <c r="Y35" s="961"/>
    </row>
    <row r="36" spans="2:25" s="2" customFormat="1" ht="25.25" customHeight="1" x14ac:dyDescent="0.2">
      <c r="B36" s="8"/>
      <c r="C36" s="405" t="s">
        <v>673</v>
      </c>
      <c r="D36" s="2" t="s">
        <v>67</v>
      </c>
      <c r="N36" s="9"/>
    </row>
    <row r="37" spans="2:25" s="2" customFormat="1" ht="25.25" customHeight="1" x14ac:dyDescent="0.2">
      <c r="B37" s="8"/>
      <c r="N37" s="9"/>
    </row>
    <row r="38" spans="2:25" s="2" customFormat="1" ht="25.25" customHeight="1" x14ac:dyDescent="0.2">
      <c r="B38" s="8"/>
      <c r="N38" s="9"/>
    </row>
    <row r="39" spans="2:25" s="2" customFormat="1" ht="25.25" customHeight="1" x14ac:dyDescent="0.2">
      <c r="B39" s="8"/>
      <c r="C39" s="280" t="s">
        <v>66</v>
      </c>
      <c r="D39" s="959" t="s">
        <v>68</v>
      </c>
      <c r="N39" s="9"/>
    </row>
    <row r="40" spans="2:25" s="2" customFormat="1" ht="25.25" customHeight="1" x14ac:dyDescent="0.2">
      <c r="B40" s="8"/>
      <c r="N40" s="9"/>
    </row>
    <row r="41" spans="2:25" s="2" customFormat="1" ht="25.25" customHeight="1" x14ac:dyDescent="0.2">
      <c r="B41" s="8"/>
      <c r="C41" s="278" t="s">
        <v>514</v>
      </c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9"/>
    </row>
    <row r="42" spans="2:25" s="2" customFormat="1" ht="25.25" customHeight="1" x14ac:dyDescent="0.2">
      <c r="B42" s="8"/>
      <c r="N42" s="9"/>
    </row>
    <row r="43" spans="2:25" s="2" customFormat="1" ht="25.25" customHeight="1" x14ac:dyDescent="0.2">
      <c r="B43" s="8"/>
      <c r="C43" s="280" t="s">
        <v>515</v>
      </c>
      <c r="N43" s="9"/>
    </row>
    <row r="44" spans="2:25" s="2" customFormat="1" ht="30" customHeight="1" thickBot="1" x14ac:dyDescent="0.25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0"/>
    </row>
    <row r="45" spans="2:25" s="2" customFormat="1" ht="30" customHeight="1" x14ac:dyDescent="0.2"/>
    <row r="46" spans="2:25" s="41" customFormat="1" ht="13" x14ac:dyDescent="0.15">
      <c r="C46" s="36" t="s">
        <v>70</v>
      </c>
      <c r="G46" s="42"/>
      <c r="M46" s="40" t="s">
        <v>75</v>
      </c>
    </row>
    <row r="47" spans="2:25" s="41" customFormat="1" ht="13" x14ac:dyDescent="0.15">
      <c r="C47" s="37" t="s">
        <v>71</v>
      </c>
      <c r="G47" s="42"/>
    </row>
    <row r="48" spans="2:25" s="41" customFormat="1" ht="13" x14ac:dyDescent="0.15">
      <c r="C48" s="37" t="s">
        <v>72</v>
      </c>
      <c r="G48" s="42"/>
    </row>
    <row r="49" spans="3:7" s="41" customFormat="1" ht="13" x14ac:dyDescent="0.15">
      <c r="C49" s="37" t="s">
        <v>73</v>
      </c>
      <c r="G49" s="42"/>
    </row>
    <row r="50" spans="3:7" s="41" customFormat="1" ht="13" x14ac:dyDescent="0.15">
      <c r="C50" s="37" t="s">
        <v>74</v>
      </c>
      <c r="G50" s="42"/>
    </row>
    <row r="51" spans="3:7" s="2" customFormat="1" ht="30" customHeight="1" x14ac:dyDescent="0.2"/>
    <row r="52" spans="3:7" s="2" customFormat="1" ht="30" customHeight="1" x14ac:dyDescent="0.2"/>
    <row r="53" spans="3:7" s="2" customFormat="1" ht="30" customHeight="1" x14ac:dyDescent="0.2"/>
    <row r="54" spans="3:7" s="2" customFormat="1" ht="30" customHeight="1" x14ac:dyDescent="0.2"/>
    <row r="55" spans="3:7" s="2" customFormat="1" ht="30" customHeight="1" x14ac:dyDescent="0.2"/>
    <row r="56" spans="3:7" s="2" customFormat="1" ht="30" customHeight="1" x14ac:dyDescent="0.2"/>
    <row r="57" spans="3:7" s="2" customFormat="1" ht="30" customHeight="1" x14ac:dyDescent="0.2"/>
    <row r="58" spans="3:7" s="2" customFormat="1" ht="30" customHeight="1" x14ac:dyDescent="0.2"/>
    <row r="59" spans="3:7" s="2" customFormat="1" ht="30" customHeight="1" x14ac:dyDescent="0.2"/>
    <row r="60" spans="3:7" s="2" customFormat="1" ht="30" customHeight="1" x14ac:dyDescent="0.2"/>
    <row r="61" spans="3:7" s="2" customFormat="1" ht="30" customHeight="1" x14ac:dyDescent="0.2"/>
    <row r="62" spans="3:7" s="2" customFormat="1" ht="30" customHeight="1" x14ac:dyDescent="0.2"/>
    <row r="63" spans="3:7" s="2" customFormat="1" ht="30" customHeight="1" x14ac:dyDescent="0.2"/>
    <row r="64" spans="3:7" s="2" customFormat="1" ht="30" customHeight="1" x14ac:dyDescent="0.2"/>
    <row r="65" s="2" customFormat="1" ht="30" customHeight="1" x14ac:dyDescent="0.2"/>
    <row r="66" s="2" customFormat="1" ht="30" customHeight="1" x14ac:dyDescent="0.2"/>
    <row r="67" s="2" customFormat="1" ht="30" customHeight="1" x14ac:dyDescent="0.2"/>
    <row r="68" s="2" customFormat="1" ht="30" customHeight="1" x14ac:dyDescent="0.2"/>
    <row r="69" s="2" customFormat="1" ht="30" customHeight="1" x14ac:dyDescent="0.2"/>
    <row r="70" s="2" customFormat="1" ht="30" customHeight="1" x14ac:dyDescent="0.2"/>
    <row r="71" s="2" customFormat="1" ht="30" customHeight="1" x14ac:dyDescent="0.2"/>
    <row r="72" s="2" customFormat="1" ht="30" customHeight="1" x14ac:dyDescent="0.2"/>
    <row r="73" s="2" customFormat="1" ht="30" customHeight="1" x14ac:dyDescent="0.2"/>
    <row r="74" s="2" customFormat="1" ht="30" customHeight="1" x14ac:dyDescent="0.2"/>
    <row r="75" s="2" customFormat="1" ht="30" customHeight="1" x14ac:dyDescent="0.2"/>
    <row r="76" s="2" customFormat="1" ht="30" customHeight="1" x14ac:dyDescent="0.2"/>
    <row r="77" s="2" customFormat="1" ht="30" customHeight="1" x14ac:dyDescent="0.2"/>
    <row r="78" s="2" customFormat="1" ht="30" customHeight="1" x14ac:dyDescent="0.2"/>
    <row r="79" s="2" customFormat="1" ht="30" customHeight="1" x14ac:dyDescent="0.2"/>
    <row r="80" s="2" customFormat="1" ht="30" customHeight="1" x14ac:dyDescent="0.2"/>
    <row r="81" s="2" customFormat="1" ht="30" customHeight="1" x14ac:dyDescent="0.2"/>
    <row r="82" s="2" customFormat="1" ht="30" customHeight="1" x14ac:dyDescent="0.2"/>
    <row r="83" s="2" customFormat="1" ht="30" customHeight="1" x14ac:dyDescent="0.2"/>
    <row r="84" s="2" customFormat="1" ht="30" customHeight="1" x14ac:dyDescent="0.2"/>
    <row r="85" s="2" customFormat="1" ht="30" customHeight="1" x14ac:dyDescent="0.2"/>
    <row r="86" s="2" customFormat="1" ht="30" customHeight="1" x14ac:dyDescent="0.2"/>
    <row r="87" s="2" customFormat="1" ht="30" customHeight="1" x14ac:dyDescent="0.2"/>
    <row r="88" s="2" customFormat="1" ht="30" customHeigh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</sheetData>
  <sheetProtection sheet="1" objects="1" scenarios="1"/>
  <mergeCells count="4">
    <mergeCell ref="M6:M7"/>
    <mergeCell ref="D13:M13"/>
    <mergeCell ref="D16:M16"/>
    <mergeCell ref="D14:F14"/>
  </mergeCells>
  <phoneticPr fontId="22" type="noConversion"/>
  <dataValidations count="1">
    <dataValidation type="list" allowBlank="1" showInputMessage="1" showErrorMessage="1" sqref="D14" xr:uid="{00000000-0002-0000-0000-000000000000}">
      <formula1>$S$14:$S$15</formula1>
    </dataValidation>
  </dataValidations>
  <pageMargins left="0.75000000000000011" right="0.75000000000000011" top="1" bottom="1" header="0.5" footer="0.5"/>
  <pageSetup paperSize="9" scale="55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111"/>
  <sheetViews>
    <sheetView workbookViewId="0">
      <selection activeCell="Q52" sqref="Q52"/>
    </sheetView>
  </sheetViews>
  <sheetFormatPr baseColWidth="10" defaultColWidth="10.7109375" defaultRowHeight="23" customHeight="1" x14ac:dyDescent="0.15"/>
  <cols>
    <col min="1" max="1" width="4.28515625" style="41" bestFit="1" customWidth="1"/>
    <col min="2" max="2" width="3.28515625" style="41" customWidth="1"/>
    <col min="3" max="3" width="9.5703125" style="41" customWidth="1"/>
    <col min="4" max="4" width="5.5703125" style="41" customWidth="1"/>
    <col min="5" max="5" width="69.7109375" style="41" customWidth="1"/>
    <col min="6" max="8" width="18.28515625" style="87" customWidth="1"/>
    <col min="9" max="9" width="3.28515625" style="41" customWidth="1"/>
    <col min="10" max="16384" width="10.7109375" style="41"/>
  </cols>
  <sheetData>
    <row r="1" spans="1:24" ht="23" customHeight="1" x14ac:dyDescent="0.15">
      <c r="D1" s="43"/>
    </row>
    <row r="2" spans="1:24" ht="23" customHeight="1" x14ac:dyDescent="0.15">
      <c r="D2" s="216" t="str">
        <f>_GENERAL!D2</f>
        <v>Área de Presidencia, Hacienda y Modernización</v>
      </c>
    </row>
    <row r="3" spans="1:24" ht="23" customHeight="1" x14ac:dyDescent="0.15">
      <c r="D3" s="216" t="str">
        <f>_GENERAL!D3</f>
        <v>Dirección Insular de Hacienda</v>
      </c>
    </row>
    <row r="4" spans="1:24" ht="23" customHeight="1" thickBot="1" x14ac:dyDescent="0.2">
      <c r="A4" s="41" t="s">
        <v>935</v>
      </c>
    </row>
    <row r="5" spans="1:24" ht="9" customHeight="1" x14ac:dyDescent="0.15">
      <c r="B5" s="44"/>
      <c r="C5" s="45"/>
      <c r="D5" s="45"/>
      <c r="E5" s="45"/>
      <c r="F5" s="88"/>
      <c r="G5" s="88"/>
      <c r="H5" s="88"/>
      <c r="I5" s="46"/>
      <c r="K5" s="406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8"/>
    </row>
    <row r="6" spans="1:24" ht="30" customHeight="1" x14ac:dyDescent="0.2">
      <c r="B6" s="47"/>
      <c r="C6" s="1" t="s">
        <v>0</v>
      </c>
      <c r="D6" s="43"/>
      <c r="E6" s="43"/>
      <c r="F6" s="89"/>
      <c r="G6" s="89"/>
      <c r="H6" s="1362">
        <f>ejercicio</f>
        <v>2020</v>
      </c>
      <c r="I6" s="49"/>
      <c r="K6" s="409"/>
      <c r="L6" s="410" t="s">
        <v>677</v>
      </c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2"/>
    </row>
    <row r="7" spans="1:24" ht="30" customHeight="1" x14ac:dyDescent="0.2">
      <c r="B7" s="47"/>
      <c r="C7" s="1" t="s">
        <v>1</v>
      </c>
      <c r="D7" s="43"/>
      <c r="E7" s="43"/>
      <c r="F7" s="89"/>
      <c r="G7" s="89"/>
      <c r="H7" s="1362"/>
      <c r="I7" s="49"/>
      <c r="K7" s="409"/>
      <c r="L7" s="411"/>
      <c r="M7" s="411"/>
      <c r="N7" s="411"/>
      <c r="O7" s="411"/>
      <c r="P7" s="411"/>
      <c r="Q7" s="411"/>
      <c r="R7" s="411"/>
      <c r="S7" s="411"/>
      <c r="T7" s="411"/>
      <c r="U7" s="411"/>
      <c r="V7" s="411"/>
      <c r="W7" s="411"/>
      <c r="X7" s="412"/>
    </row>
    <row r="8" spans="1:24" ht="30" customHeight="1" x14ac:dyDescent="0.15">
      <c r="B8" s="47"/>
      <c r="C8" s="48"/>
      <c r="D8" s="43"/>
      <c r="E8" s="43"/>
      <c r="F8" s="89"/>
      <c r="G8" s="89"/>
      <c r="H8" s="90"/>
      <c r="I8" s="49"/>
      <c r="K8" s="409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2"/>
    </row>
    <row r="9" spans="1:24" s="59" customFormat="1" ht="30" customHeight="1" x14ac:dyDescent="0.2">
      <c r="B9" s="57"/>
      <c r="C9" s="38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376"/>
      <c r="I9" s="58"/>
      <c r="K9" s="413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4"/>
      <c r="X9" s="415"/>
    </row>
    <row r="10" spans="1:24" ht="7.25" customHeight="1" x14ac:dyDescent="0.15">
      <c r="B10" s="47"/>
      <c r="C10" s="43"/>
      <c r="D10" s="43"/>
      <c r="E10" s="43"/>
      <c r="F10" s="89"/>
      <c r="G10" s="89"/>
      <c r="H10" s="89"/>
      <c r="I10" s="49"/>
      <c r="K10" s="409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2"/>
    </row>
    <row r="11" spans="1:24" s="61" customFormat="1" ht="30" customHeight="1" x14ac:dyDescent="0.2">
      <c r="B11" s="23"/>
      <c r="C11" s="11" t="s">
        <v>314</v>
      </c>
      <c r="D11" s="11"/>
      <c r="E11" s="11"/>
      <c r="F11" s="91"/>
      <c r="G11" s="91"/>
      <c r="H11" s="91"/>
      <c r="I11" s="60"/>
      <c r="K11" s="416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7"/>
      <c r="X11" s="418"/>
    </row>
    <row r="12" spans="1:24" s="61" customFormat="1" ht="30" customHeight="1" x14ac:dyDescent="0.2">
      <c r="B12" s="23"/>
      <c r="C12" s="960" t="str">
        <f>IF(_GENERAL!D14&lt;&gt;"Normal","No aplica a empresas que presentan cuentas en modelo abreviado o PyMES","")</f>
        <v>No aplica a empresas que presentan cuentas en modelo abreviado o PyMES</v>
      </c>
      <c r="D12" s="65"/>
      <c r="E12" s="65"/>
      <c r="F12" s="92"/>
      <c r="G12" s="92"/>
      <c r="H12" s="92"/>
      <c r="I12" s="60"/>
      <c r="K12" s="416"/>
      <c r="L12" s="417"/>
      <c r="M12" s="417"/>
      <c r="N12" s="417"/>
      <c r="O12" s="417"/>
      <c r="P12" s="417"/>
      <c r="Q12" s="417"/>
      <c r="R12" s="417"/>
      <c r="S12" s="417"/>
      <c r="T12" s="417"/>
      <c r="U12" s="417"/>
      <c r="V12" s="417"/>
      <c r="W12" s="417"/>
      <c r="X12" s="418"/>
    </row>
    <row r="13" spans="1:24" ht="23" customHeight="1" x14ac:dyDescent="0.2">
      <c r="B13" s="47"/>
      <c r="C13" s="385"/>
      <c r="D13" s="386"/>
      <c r="E13" s="386"/>
      <c r="F13" s="394" t="s">
        <v>176</v>
      </c>
      <c r="G13" s="394" t="s">
        <v>177</v>
      </c>
      <c r="H13" s="394" t="s">
        <v>178</v>
      </c>
      <c r="I13" s="49"/>
      <c r="K13" s="409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2"/>
    </row>
    <row r="14" spans="1:24" ht="23" customHeight="1" x14ac:dyDescent="0.2">
      <c r="B14" s="47"/>
      <c r="C14" s="392"/>
      <c r="D14" s="393"/>
      <c r="E14" s="393"/>
      <c r="F14" s="395">
        <f>ejercicio-2</f>
        <v>2018</v>
      </c>
      <c r="G14" s="395">
        <f>ejercicio-1</f>
        <v>2019</v>
      </c>
      <c r="H14" s="395">
        <f>ejercicio</f>
        <v>2020</v>
      </c>
      <c r="I14" s="49"/>
      <c r="K14" s="409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2"/>
    </row>
    <row r="15" spans="1:24" ht="23" customHeight="1" x14ac:dyDescent="0.2">
      <c r="B15" s="47"/>
      <c r="C15" s="387" t="s">
        <v>315</v>
      </c>
      <c r="D15" s="85"/>
      <c r="E15" s="84"/>
      <c r="F15" s="396"/>
      <c r="G15" s="396"/>
      <c r="H15" s="396"/>
      <c r="I15" s="49"/>
      <c r="K15" s="409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2"/>
    </row>
    <row r="16" spans="1:24" ht="23" customHeight="1" x14ac:dyDescent="0.2">
      <c r="B16" s="47"/>
      <c r="C16" s="388" t="s">
        <v>316</v>
      </c>
      <c r="D16" s="69"/>
      <c r="E16" s="68"/>
      <c r="F16" s="554">
        <f>'FC-3_CPyG'!E76</f>
        <v>-1388176.9300000002</v>
      </c>
      <c r="G16" s="554">
        <f>'FC-3_CPyG'!F76</f>
        <v>-1095178.0199999996</v>
      </c>
      <c r="H16" s="554">
        <f>'FC-3_CPyG'!G76</f>
        <v>-1433160.4299999997</v>
      </c>
      <c r="I16" s="49"/>
      <c r="K16" s="409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2"/>
    </row>
    <row r="17" spans="2:24" ht="23" customHeight="1" x14ac:dyDescent="0.2">
      <c r="B17" s="47"/>
      <c r="C17" s="388" t="s">
        <v>317</v>
      </c>
      <c r="D17" s="69"/>
      <c r="E17" s="68"/>
      <c r="F17" s="397">
        <f>SUM(F18:F28)</f>
        <v>0</v>
      </c>
      <c r="G17" s="397">
        <f>SUM(G18:G28)</f>
        <v>0</v>
      </c>
      <c r="H17" s="397">
        <f>SUM(H18:H28)</f>
        <v>0</v>
      </c>
      <c r="I17" s="49"/>
      <c r="K17" s="409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2"/>
    </row>
    <row r="18" spans="2:24" ht="23" customHeight="1" x14ac:dyDescent="0.2">
      <c r="B18" s="47"/>
      <c r="C18" s="389"/>
      <c r="D18" s="71" t="s">
        <v>318</v>
      </c>
      <c r="E18" s="71"/>
      <c r="F18" s="471"/>
      <c r="G18" s="471"/>
      <c r="H18" s="471"/>
      <c r="I18" s="49"/>
      <c r="K18" s="409"/>
      <c r="L18" s="411"/>
      <c r="M18" s="411"/>
      <c r="N18" s="411"/>
      <c r="O18" s="411"/>
      <c r="P18" s="411"/>
      <c r="Q18" s="411"/>
      <c r="R18" s="411"/>
      <c r="S18" s="411"/>
      <c r="T18" s="411"/>
      <c r="U18" s="411"/>
      <c r="V18" s="411"/>
      <c r="W18" s="411"/>
      <c r="X18" s="412"/>
    </row>
    <row r="19" spans="2:24" ht="23" customHeight="1" x14ac:dyDescent="0.2">
      <c r="B19" s="47"/>
      <c r="C19" s="389"/>
      <c r="D19" s="71" t="s">
        <v>319</v>
      </c>
      <c r="E19" s="71"/>
      <c r="F19" s="471"/>
      <c r="G19" s="471"/>
      <c r="H19" s="471"/>
      <c r="I19" s="49"/>
      <c r="K19" s="409"/>
      <c r="L19" s="411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1"/>
      <c r="X19" s="412"/>
    </row>
    <row r="20" spans="2:24" ht="23" customHeight="1" x14ac:dyDescent="0.2">
      <c r="B20" s="47"/>
      <c r="C20" s="389"/>
      <c r="D20" s="71" t="s">
        <v>320</v>
      </c>
      <c r="E20" s="71"/>
      <c r="F20" s="471"/>
      <c r="G20" s="471"/>
      <c r="H20" s="471"/>
      <c r="I20" s="49"/>
      <c r="K20" s="409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2"/>
    </row>
    <row r="21" spans="2:24" ht="23" customHeight="1" x14ac:dyDescent="0.2">
      <c r="B21" s="47"/>
      <c r="C21" s="389"/>
      <c r="D21" s="71" t="s">
        <v>321</v>
      </c>
      <c r="E21" s="71"/>
      <c r="F21" s="471"/>
      <c r="G21" s="471"/>
      <c r="H21" s="471"/>
      <c r="I21" s="49"/>
      <c r="K21" s="409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2"/>
    </row>
    <row r="22" spans="2:24" ht="23" customHeight="1" x14ac:dyDescent="0.2">
      <c r="B22" s="47"/>
      <c r="C22" s="389"/>
      <c r="D22" s="71" t="s">
        <v>322</v>
      </c>
      <c r="E22" s="71"/>
      <c r="F22" s="471"/>
      <c r="G22" s="471"/>
      <c r="H22" s="471"/>
      <c r="I22" s="49"/>
      <c r="K22" s="409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2"/>
    </row>
    <row r="23" spans="2:24" ht="23" customHeight="1" x14ac:dyDescent="0.2">
      <c r="B23" s="47"/>
      <c r="C23" s="389"/>
      <c r="D23" s="71" t="s">
        <v>323</v>
      </c>
      <c r="E23" s="71"/>
      <c r="F23" s="471"/>
      <c r="G23" s="471"/>
      <c r="H23" s="471"/>
      <c r="I23" s="49"/>
      <c r="K23" s="409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2"/>
    </row>
    <row r="24" spans="2:24" ht="23" customHeight="1" x14ac:dyDescent="0.2">
      <c r="B24" s="47"/>
      <c r="C24" s="389"/>
      <c r="D24" s="71" t="s">
        <v>324</v>
      </c>
      <c r="E24" s="71"/>
      <c r="F24" s="471"/>
      <c r="G24" s="471"/>
      <c r="H24" s="471"/>
      <c r="I24" s="49"/>
      <c r="K24" s="409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2"/>
    </row>
    <row r="25" spans="2:24" ht="23" customHeight="1" x14ac:dyDescent="0.2">
      <c r="B25" s="47"/>
      <c r="C25" s="389"/>
      <c r="D25" s="71" t="s">
        <v>325</v>
      </c>
      <c r="E25" s="71"/>
      <c r="F25" s="471"/>
      <c r="G25" s="471"/>
      <c r="H25" s="471"/>
      <c r="I25" s="49"/>
      <c r="K25" s="409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2"/>
    </row>
    <row r="26" spans="2:24" ht="23" customHeight="1" x14ac:dyDescent="0.2">
      <c r="B26" s="47"/>
      <c r="C26" s="389"/>
      <c r="D26" s="71" t="s">
        <v>326</v>
      </c>
      <c r="E26" s="71"/>
      <c r="F26" s="471"/>
      <c r="G26" s="471"/>
      <c r="H26" s="471"/>
      <c r="I26" s="49"/>
      <c r="K26" s="409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2"/>
    </row>
    <row r="27" spans="2:24" ht="23" customHeight="1" x14ac:dyDescent="0.2">
      <c r="B27" s="47"/>
      <c r="C27" s="389"/>
      <c r="D27" s="71" t="s">
        <v>327</v>
      </c>
      <c r="E27" s="71"/>
      <c r="F27" s="471"/>
      <c r="G27" s="471"/>
      <c r="H27" s="471"/>
      <c r="I27" s="49"/>
      <c r="K27" s="409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2"/>
    </row>
    <row r="28" spans="2:24" ht="23" customHeight="1" x14ac:dyDescent="0.2">
      <c r="B28" s="47"/>
      <c r="C28" s="389"/>
      <c r="D28" s="71" t="s">
        <v>328</v>
      </c>
      <c r="E28" s="71"/>
      <c r="F28" s="471"/>
      <c r="G28" s="471"/>
      <c r="H28" s="471"/>
      <c r="I28" s="49"/>
      <c r="K28" s="409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2"/>
    </row>
    <row r="29" spans="2:24" ht="23" customHeight="1" x14ac:dyDescent="0.2">
      <c r="B29" s="47"/>
      <c r="C29" s="388" t="s">
        <v>329</v>
      </c>
      <c r="D29" s="69"/>
      <c r="E29" s="68"/>
      <c r="F29" s="397">
        <f>SUM(F30:F35)</f>
        <v>0</v>
      </c>
      <c r="G29" s="397">
        <f>SUM(G30:G35)</f>
        <v>0</v>
      </c>
      <c r="H29" s="397">
        <f>SUM(H30:H35)</f>
        <v>0</v>
      </c>
      <c r="I29" s="49"/>
      <c r="K29" s="409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1"/>
      <c r="X29" s="412"/>
    </row>
    <row r="30" spans="2:24" ht="23" customHeight="1" x14ac:dyDescent="0.2">
      <c r="B30" s="47"/>
      <c r="C30" s="389"/>
      <c r="D30" s="71" t="s">
        <v>330</v>
      </c>
      <c r="E30" s="71"/>
      <c r="F30" s="471"/>
      <c r="G30" s="471"/>
      <c r="H30" s="471"/>
      <c r="I30" s="49"/>
      <c r="K30" s="419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1"/>
    </row>
    <row r="31" spans="2:24" ht="23" customHeight="1" x14ac:dyDescent="0.2">
      <c r="B31" s="47"/>
      <c r="C31" s="389"/>
      <c r="D31" s="71" t="s">
        <v>331</v>
      </c>
      <c r="E31" s="71"/>
      <c r="F31" s="471"/>
      <c r="G31" s="471"/>
      <c r="H31" s="471"/>
      <c r="I31" s="49"/>
      <c r="K31" s="419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1"/>
    </row>
    <row r="32" spans="2:24" ht="23" customHeight="1" x14ac:dyDescent="0.2">
      <c r="B32" s="47"/>
      <c r="C32" s="389"/>
      <c r="D32" s="71" t="s">
        <v>332</v>
      </c>
      <c r="E32" s="71"/>
      <c r="F32" s="471"/>
      <c r="G32" s="471"/>
      <c r="H32" s="471"/>
      <c r="I32" s="49"/>
      <c r="K32" s="409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1"/>
      <c r="X32" s="412"/>
    </row>
    <row r="33" spans="2:24" ht="23" customHeight="1" x14ac:dyDescent="0.2">
      <c r="B33" s="47"/>
      <c r="C33" s="389"/>
      <c r="D33" s="71" t="s">
        <v>333</v>
      </c>
      <c r="E33" s="71"/>
      <c r="F33" s="471"/>
      <c r="G33" s="471"/>
      <c r="H33" s="471"/>
      <c r="I33" s="49"/>
      <c r="K33" s="409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2"/>
    </row>
    <row r="34" spans="2:24" ht="23" customHeight="1" x14ac:dyDescent="0.2">
      <c r="B34" s="47"/>
      <c r="C34" s="389"/>
      <c r="D34" s="71" t="s">
        <v>334</v>
      </c>
      <c r="E34" s="71"/>
      <c r="F34" s="471"/>
      <c r="G34" s="471"/>
      <c r="H34" s="471"/>
      <c r="I34" s="49"/>
      <c r="K34" s="409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2"/>
    </row>
    <row r="35" spans="2:24" ht="23" customHeight="1" x14ac:dyDescent="0.2">
      <c r="B35" s="47"/>
      <c r="C35" s="389"/>
      <c r="D35" s="71" t="s">
        <v>335</v>
      </c>
      <c r="E35" s="71"/>
      <c r="F35" s="471"/>
      <c r="G35" s="471"/>
      <c r="H35" s="471"/>
      <c r="I35" s="49"/>
      <c r="K35" s="409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1"/>
      <c r="X35" s="412"/>
    </row>
    <row r="36" spans="2:24" ht="23" customHeight="1" x14ac:dyDescent="0.2">
      <c r="B36" s="47"/>
      <c r="C36" s="388" t="s">
        <v>336</v>
      </c>
      <c r="D36" s="69"/>
      <c r="E36" s="68"/>
      <c r="F36" s="397">
        <f>SUM(F37:F41)</f>
        <v>0</v>
      </c>
      <c r="G36" s="397">
        <f>SUM(G37:G41)</f>
        <v>0</v>
      </c>
      <c r="H36" s="397">
        <f>SUM(H37:H41)</f>
        <v>0</v>
      </c>
      <c r="I36" s="49"/>
      <c r="K36" s="422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4"/>
    </row>
    <row r="37" spans="2:24" ht="23" customHeight="1" x14ac:dyDescent="0.2">
      <c r="B37" s="47"/>
      <c r="C37" s="389"/>
      <c r="D37" s="71" t="s">
        <v>337</v>
      </c>
      <c r="E37" s="71"/>
      <c r="F37" s="471"/>
      <c r="G37" s="471"/>
      <c r="H37" s="471"/>
      <c r="I37" s="49"/>
      <c r="K37" s="422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4"/>
    </row>
    <row r="38" spans="2:24" ht="23" customHeight="1" x14ac:dyDescent="0.2">
      <c r="B38" s="47"/>
      <c r="C38" s="389"/>
      <c r="D38" s="71" t="s">
        <v>338</v>
      </c>
      <c r="E38" s="71"/>
      <c r="F38" s="471"/>
      <c r="G38" s="471"/>
      <c r="H38" s="471"/>
      <c r="I38" s="49"/>
      <c r="K38" s="422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4"/>
    </row>
    <row r="39" spans="2:24" ht="23" customHeight="1" x14ac:dyDescent="0.2">
      <c r="B39" s="47"/>
      <c r="C39" s="389"/>
      <c r="D39" s="71" t="s">
        <v>339</v>
      </c>
      <c r="E39" s="71"/>
      <c r="F39" s="471"/>
      <c r="G39" s="471"/>
      <c r="H39" s="471"/>
      <c r="I39" s="49"/>
      <c r="K39" s="422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4"/>
    </row>
    <row r="40" spans="2:24" ht="23" customHeight="1" x14ac:dyDescent="0.2">
      <c r="B40" s="47"/>
      <c r="C40" s="389"/>
      <c r="D40" s="71" t="s">
        <v>340</v>
      </c>
      <c r="E40" s="71"/>
      <c r="F40" s="471"/>
      <c r="G40" s="471"/>
      <c r="H40" s="471"/>
      <c r="I40" s="49"/>
      <c r="K40" s="422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4"/>
    </row>
    <row r="41" spans="2:24" ht="23" customHeight="1" x14ac:dyDescent="0.2">
      <c r="B41" s="47"/>
      <c r="C41" s="389"/>
      <c r="D41" s="71" t="s">
        <v>341</v>
      </c>
      <c r="E41" s="71"/>
      <c r="F41" s="471"/>
      <c r="G41" s="471"/>
      <c r="H41" s="471"/>
      <c r="I41" s="49"/>
      <c r="K41" s="422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4"/>
    </row>
    <row r="42" spans="2:24" ht="23" customHeight="1" thickBot="1" x14ac:dyDescent="0.25">
      <c r="B42" s="47"/>
      <c r="C42" s="390" t="s">
        <v>342</v>
      </c>
      <c r="D42" s="82"/>
      <c r="E42" s="82"/>
      <c r="F42" s="399">
        <f>F16+F17+F29+F36</f>
        <v>-1388176.9300000002</v>
      </c>
      <c r="G42" s="399">
        <f>G16+G17+G29+G36</f>
        <v>-1095178.0199999996</v>
      </c>
      <c r="H42" s="399">
        <f>H16+H17+H29+H36</f>
        <v>-1433160.4299999997</v>
      </c>
      <c r="I42" s="49"/>
      <c r="K42" s="422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4"/>
    </row>
    <row r="43" spans="2:24" ht="23" customHeight="1" x14ac:dyDescent="0.2">
      <c r="B43" s="47"/>
      <c r="C43" s="389"/>
      <c r="D43" s="63"/>
      <c r="E43" s="63"/>
      <c r="F43" s="396"/>
      <c r="G43" s="396"/>
      <c r="H43" s="396"/>
      <c r="I43" s="49"/>
      <c r="K43" s="422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4"/>
    </row>
    <row r="44" spans="2:24" ht="23" customHeight="1" x14ac:dyDescent="0.2">
      <c r="B44" s="47"/>
      <c r="C44" s="387" t="s">
        <v>343</v>
      </c>
      <c r="D44" s="85"/>
      <c r="E44" s="84"/>
      <c r="F44" s="396"/>
      <c r="G44" s="396"/>
      <c r="H44" s="396"/>
      <c r="I44" s="49"/>
      <c r="K44" s="422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4"/>
    </row>
    <row r="45" spans="2:24" ht="23" customHeight="1" x14ac:dyDescent="0.2">
      <c r="B45" s="47"/>
      <c r="C45" s="388" t="s">
        <v>344</v>
      </c>
      <c r="D45" s="69"/>
      <c r="E45" s="68"/>
      <c r="F45" s="397">
        <f>SUM(F46:F53)</f>
        <v>0</v>
      </c>
      <c r="G45" s="397">
        <f>SUM(G46:G53)</f>
        <v>0</v>
      </c>
      <c r="H45" s="397">
        <f>SUM(H46:H53)</f>
        <v>0</v>
      </c>
      <c r="I45" s="49"/>
      <c r="K45" s="422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4"/>
    </row>
    <row r="46" spans="2:24" ht="23" customHeight="1" x14ac:dyDescent="0.2">
      <c r="B46" s="47"/>
      <c r="C46" s="389"/>
      <c r="D46" s="71" t="s">
        <v>345</v>
      </c>
      <c r="E46" s="71"/>
      <c r="F46" s="471"/>
      <c r="G46" s="471"/>
      <c r="H46" s="471"/>
      <c r="I46" s="49"/>
      <c r="K46" s="422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4"/>
    </row>
    <row r="47" spans="2:24" ht="23" customHeight="1" x14ac:dyDescent="0.2">
      <c r="B47" s="47"/>
      <c r="C47" s="389"/>
      <c r="D47" s="71" t="s">
        <v>346</v>
      </c>
      <c r="E47" s="71"/>
      <c r="F47" s="471"/>
      <c r="G47" s="471"/>
      <c r="H47" s="471"/>
      <c r="I47" s="49"/>
      <c r="K47" s="422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4"/>
    </row>
    <row r="48" spans="2:24" ht="23" customHeight="1" x14ac:dyDescent="0.2">
      <c r="B48" s="47"/>
      <c r="C48" s="389"/>
      <c r="D48" s="71" t="s">
        <v>347</v>
      </c>
      <c r="E48" s="71"/>
      <c r="F48" s="471"/>
      <c r="G48" s="471"/>
      <c r="H48" s="471"/>
      <c r="I48" s="49"/>
      <c r="K48" s="422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4"/>
    </row>
    <row r="49" spans="2:24" ht="23" customHeight="1" x14ac:dyDescent="0.2">
      <c r="B49" s="47"/>
      <c r="C49" s="389"/>
      <c r="D49" s="71" t="s">
        <v>348</v>
      </c>
      <c r="E49" s="71"/>
      <c r="F49" s="471"/>
      <c r="G49" s="471"/>
      <c r="H49" s="471"/>
      <c r="I49" s="49"/>
      <c r="K49" s="422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4"/>
    </row>
    <row r="50" spans="2:24" ht="23" customHeight="1" x14ac:dyDescent="0.2">
      <c r="B50" s="47"/>
      <c r="C50" s="389"/>
      <c r="D50" s="71" t="s">
        <v>349</v>
      </c>
      <c r="E50" s="71"/>
      <c r="F50" s="471"/>
      <c r="G50" s="471"/>
      <c r="H50" s="471"/>
      <c r="I50" s="49"/>
      <c r="K50" s="422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4"/>
    </row>
    <row r="51" spans="2:24" ht="23" customHeight="1" x14ac:dyDescent="0.2">
      <c r="B51" s="47"/>
      <c r="C51" s="389"/>
      <c r="D51" s="71" t="s">
        <v>350</v>
      </c>
      <c r="E51" s="71"/>
      <c r="F51" s="471"/>
      <c r="G51" s="471"/>
      <c r="H51" s="471"/>
      <c r="I51" s="49"/>
      <c r="K51" s="422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4"/>
    </row>
    <row r="52" spans="2:24" s="74" customFormat="1" ht="23" customHeight="1" x14ac:dyDescent="0.2">
      <c r="B52" s="23"/>
      <c r="C52" s="389"/>
      <c r="D52" s="71" t="s">
        <v>374</v>
      </c>
      <c r="E52" s="71"/>
      <c r="F52" s="471"/>
      <c r="G52" s="471"/>
      <c r="H52" s="471"/>
      <c r="I52" s="60"/>
      <c r="K52" s="422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4"/>
    </row>
    <row r="53" spans="2:24" ht="23" customHeight="1" x14ac:dyDescent="0.2">
      <c r="B53" s="47"/>
      <c r="C53" s="389"/>
      <c r="D53" s="71" t="s">
        <v>375</v>
      </c>
      <c r="E53" s="71"/>
      <c r="F53" s="471"/>
      <c r="G53" s="471"/>
      <c r="H53" s="471"/>
      <c r="I53" s="49"/>
      <c r="K53" s="422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4"/>
    </row>
    <row r="54" spans="2:24" ht="23" customHeight="1" x14ac:dyDescent="0.2">
      <c r="B54" s="47"/>
      <c r="C54" s="388" t="s">
        <v>351</v>
      </c>
      <c r="D54" s="69"/>
      <c r="E54" s="68"/>
      <c r="F54" s="397">
        <f>SUM(F55:F62)</f>
        <v>0</v>
      </c>
      <c r="G54" s="397">
        <f>SUM(G55:G62)</f>
        <v>0</v>
      </c>
      <c r="H54" s="397">
        <f>SUM(H55:H62)</f>
        <v>0</v>
      </c>
      <c r="I54" s="49"/>
      <c r="K54" s="422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4"/>
    </row>
    <row r="55" spans="2:24" ht="23" customHeight="1" x14ac:dyDescent="0.2">
      <c r="B55" s="47"/>
      <c r="C55" s="389"/>
      <c r="D55" s="71" t="s">
        <v>345</v>
      </c>
      <c r="E55" s="71"/>
      <c r="F55" s="471"/>
      <c r="G55" s="471"/>
      <c r="H55" s="471"/>
      <c r="I55" s="49"/>
      <c r="K55" s="422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4"/>
    </row>
    <row r="56" spans="2:24" ht="23" customHeight="1" x14ac:dyDescent="0.2">
      <c r="B56" s="47"/>
      <c r="C56" s="389"/>
      <c r="D56" s="71" t="s">
        <v>346</v>
      </c>
      <c r="E56" s="71"/>
      <c r="F56" s="471"/>
      <c r="G56" s="471"/>
      <c r="H56" s="471"/>
      <c r="I56" s="49"/>
      <c r="K56" s="422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4"/>
    </row>
    <row r="57" spans="2:24" ht="23" customHeight="1" x14ac:dyDescent="0.2">
      <c r="B57" s="47"/>
      <c r="C57" s="389"/>
      <c r="D57" s="71" t="s">
        <v>347</v>
      </c>
      <c r="E57" s="71"/>
      <c r="F57" s="471"/>
      <c r="G57" s="471"/>
      <c r="H57" s="471"/>
      <c r="I57" s="49"/>
      <c r="K57" s="422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4"/>
    </row>
    <row r="58" spans="2:24" ht="23" customHeight="1" x14ac:dyDescent="0.2">
      <c r="B58" s="47"/>
      <c r="C58" s="389"/>
      <c r="D58" s="71" t="s">
        <v>348</v>
      </c>
      <c r="E58" s="71"/>
      <c r="F58" s="471"/>
      <c r="G58" s="471"/>
      <c r="H58" s="471"/>
      <c r="I58" s="49"/>
      <c r="K58" s="422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4"/>
    </row>
    <row r="59" spans="2:24" ht="23" customHeight="1" x14ac:dyDescent="0.2">
      <c r="B59" s="47"/>
      <c r="C59" s="389"/>
      <c r="D59" s="71" t="s">
        <v>349</v>
      </c>
      <c r="E59" s="71"/>
      <c r="F59" s="471"/>
      <c r="G59" s="471"/>
      <c r="H59" s="471"/>
      <c r="I59" s="49"/>
      <c r="K59" s="422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4"/>
    </row>
    <row r="60" spans="2:24" ht="23" customHeight="1" x14ac:dyDescent="0.2">
      <c r="B60" s="47"/>
      <c r="C60" s="389"/>
      <c r="D60" s="71" t="s">
        <v>350</v>
      </c>
      <c r="E60" s="71"/>
      <c r="F60" s="471"/>
      <c r="G60" s="471"/>
      <c r="H60" s="471"/>
      <c r="I60" s="49"/>
      <c r="K60" s="422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4"/>
    </row>
    <row r="61" spans="2:24" ht="23" customHeight="1" x14ac:dyDescent="0.2">
      <c r="B61" s="47"/>
      <c r="C61" s="389"/>
      <c r="D61" s="71" t="s">
        <v>374</v>
      </c>
      <c r="E61" s="71"/>
      <c r="F61" s="471"/>
      <c r="G61" s="471"/>
      <c r="H61" s="471"/>
      <c r="I61" s="49"/>
      <c r="K61" s="422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4"/>
    </row>
    <row r="62" spans="2:24" ht="23" customHeight="1" x14ac:dyDescent="0.2">
      <c r="B62" s="47"/>
      <c r="C62" s="389"/>
      <c r="D62" s="71" t="s">
        <v>375</v>
      </c>
      <c r="E62" s="71"/>
      <c r="F62" s="471"/>
      <c r="G62" s="471"/>
      <c r="H62" s="471"/>
      <c r="I62" s="49"/>
      <c r="K62" s="422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4"/>
    </row>
    <row r="63" spans="2:24" ht="23" customHeight="1" thickBot="1" x14ac:dyDescent="0.25">
      <c r="B63" s="47"/>
      <c r="C63" s="390" t="s">
        <v>352</v>
      </c>
      <c r="D63" s="82"/>
      <c r="E63" s="82"/>
      <c r="F63" s="399">
        <f>F45+F54</f>
        <v>0</v>
      </c>
      <c r="G63" s="399">
        <f>G45+G54</f>
        <v>0</v>
      </c>
      <c r="H63" s="399">
        <f>H45+H54</f>
        <v>0</v>
      </c>
      <c r="I63" s="49"/>
      <c r="K63" s="422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4"/>
    </row>
    <row r="64" spans="2:24" ht="23" customHeight="1" x14ac:dyDescent="0.2">
      <c r="B64" s="47"/>
      <c r="C64" s="389"/>
      <c r="D64" s="63"/>
      <c r="E64" s="63"/>
      <c r="F64" s="396"/>
      <c r="G64" s="396"/>
      <c r="H64" s="396"/>
      <c r="I64" s="49"/>
      <c r="K64" s="422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4"/>
    </row>
    <row r="65" spans="2:24" ht="23" customHeight="1" x14ac:dyDescent="0.2">
      <c r="B65" s="47"/>
      <c r="C65" s="387" t="s">
        <v>353</v>
      </c>
      <c r="D65" s="85"/>
      <c r="E65" s="84"/>
      <c r="F65" s="396"/>
      <c r="G65" s="396"/>
      <c r="H65" s="396"/>
      <c r="I65" s="49"/>
      <c r="K65" s="422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4"/>
    </row>
    <row r="66" spans="2:24" ht="23" customHeight="1" x14ac:dyDescent="0.2">
      <c r="B66" s="47"/>
      <c r="C66" s="388" t="s">
        <v>354</v>
      </c>
      <c r="D66" s="69"/>
      <c r="E66" s="68"/>
      <c r="F66" s="397">
        <f>SUM(F67:F71)</f>
        <v>0</v>
      </c>
      <c r="G66" s="397">
        <f>SUM(G67:G71)</f>
        <v>0</v>
      </c>
      <c r="H66" s="397">
        <f>SUM(H67:H71)</f>
        <v>0</v>
      </c>
      <c r="I66" s="49"/>
      <c r="K66" s="422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4"/>
    </row>
    <row r="67" spans="2:24" ht="23" customHeight="1" x14ac:dyDescent="0.2">
      <c r="B67" s="47"/>
      <c r="C67" s="389"/>
      <c r="D67" s="71" t="s">
        <v>355</v>
      </c>
      <c r="E67" s="71"/>
      <c r="F67" s="471"/>
      <c r="G67" s="471"/>
      <c r="H67" s="471"/>
      <c r="I67" s="49"/>
      <c r="K67" s="422" t="s">
        <v>984</v>
      </c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4"/>
    </row>
    <row r="68" spans="2:24" ht="23" customHeight="1" x14ac:dyDescent="0.2">
      <c r="B68" s="47"/>
      <c r="C68" s="389"/>
      <c r="D68" s="71" t="s">
        <v>356</v>
      </c>
      <c r="E68" s="71"/>
      <c r="F68" s="471"/>
      <c r="G68" s="471"/>
      <c r="H68" s="471"/>
      <c r="I68" s="49"/>
      <c r="K68" s="422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4"/>
    </row>
    <row r="69" spans="2:24" ht="23" customHeight="1" x14ac:dyDescent="0.2">
      <c r="B69" s="47"/>
      <c r="C69" s="389"/>
      <c r="D69" s="555" t="s">
        <v>695</v>
      </c>
      <c r="E69" s="71"/>
      <c r="F69" s="471"/>
      <c r="G69" s="471"/>
      <c r="H69" s="471"/>
      <c r="I69" s="49"/>
      <c r="K69" s="422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4"/>
    </row>
    <row r="70" spans="2:24" ht="23" customHeight="1" x14ac:dyDescent="0.2">
      <c r="B70" s="47"/>
      <c r="C70" s="389"/>
      <c r="D70" s="71" t="s">
        <v>357</v>
      </c>
      <c r="E70" s="71"/>
      <c r="F70" s="471"/>
      <c r="G70" s="471"/>
      <c r="H70" s="471"/>
      <c r="I70" s="49"/>
      <c r="K70" s="422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4"/>
    </row>
    <row r="71" spans="2:24" ht="23" customHeight="1" x14ac:dyDescent="0.2">
      <c r="B71" s="47"/>
      <c r="C71" s="389"/>
      <c r="D71" s="71" t="s">
        <v>358</v>
      </c>
      <c r="E71" s="71"/>
      <c r="F71" s="471"/>
      <c r="G71" s="471"/>
      <c r="H71" s="471"/>
      <c r="I71" s="49"/>
      <c r="K71" s="422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4"/>
    </row>
    <row r="72" spans="2:24" ht="23" customHeight="1" x14ac:dyDescent="0.2">
      <c r="B72" s="47"/>
      <c r="C72" s="388" t="s">
        <v>359</v>
      </c>
      <c r="D72" s="69"/>
      <c r="E72" s="68"/>
      <c r="F72" s="397">
        <f>+F73+F79</f>
        <v>0</v>
      </c>
      <c r="G72" s="397">
        <f>+G73+G79</f>
        <v>0</v>
      </c>
      <c r="H72" s="397">
        <f>+H73+H79</f>
        <v>0</v>
      </c>
      <c r="I72" s="49"/>
      <c r="K72" s="422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4"/>
    </row>
    <row r="73" spans="2:24" ht="23" customHeight="1" x14ac:dyDescent="0.2">
      <c r="B73" s="47"/>
      <c r="C73" s="389"/>
      <c r="D73" s="71" t="s">
        <v>360</v>
      </c>
      <c r="E73" s="71"/>
      <c r="F73" s="398">
        <f>SUM(F74:F78)</f>
        <v>0</v>
      </c>
      <c r="G73" s="398">
        <f>SUM(G74:G78)</f>
        <v>0</v>
      </c>
      <c r="H73" s="398">
        <f>SUM(H74:H78)</f>
        <v>0</v>
      </c>
      <c r="I73" s="49"/>
      <c r="K73" s="422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4"/>
    </row>
    <row r="74" spans="2:24" ht="23" customHeight="1" x14ac:dyDescent="0.15">
      <c r="B74" s="47"/>
      <c r="C74" s="391"/>
      <c r="D74" s="86"/>
      <c r="E74" s="86" t="s">
        <v>361</v>
      </c>
      <c r="F74" s="472"/>
      <c r="G74" s="472"/>
      <c r="H74" s="472"/>
      <c r="I74" s="49"/>
      <c r="K74" s="422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4"/>
    </row>
    <row r="75" spans="2:24" ht="23" customHeight="1" x14ac:dyDescent="0.15">
      <c r="B75" s="47"/>
      <c r="C75" s="391"/>
      <c r="D75" s="86"/>
      <c r="E75" s="86" t="s">
        <v>362</v>
      </c>
      <c r="F75" s="472"/>
      <c r="G75" s="472"/>
      <c r="H75" s="472"/>
      <c r="I75" s="49"/>
      <c r="K75" s="422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4"/>
    </row>
    <row r="76" spans="2:24" ht="23" customHeight="1" x14ac:dyDescent="0.15">
      <c r="B76" s="47"/>
      <c r="C76" s="391"/>
      <c r="D76" s="86"/>
      <c r="E76" s="86" t="s">
        <v>363</v>
      </c>
      <c r="F76" s="472"/>
      <c r="G76" s="472"/>
      <c r="H76" s="472"/>
      <c r="I76" s="49"/>
      <c r="K76" s="422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4"/>
    </row>
    <row r="77" spans="2:24" ht="23" customHeight="1" x14ac:dyDescent="0.15">
      <c r="B77" s="47"/>
      <c r="C77" s="391"/>
      <c r="D77" s="86"/>
      <c r="E77" s="86" t="s">
        <v>364</v>
      </c>
      <c r="F77" s="472"/>
      <c r="G77" s="472"/>
      <c r="H77" s="472"/>
      <c r="I77" s="49"/>
      <c r="K77" s="422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4"/>
    </row>
    <row r="78" spans="2:24" ht="23" customHeight="1" x14ac:dyDescent="0.15">
      <c r="B78" s="47"/>
      <c r="C78" s="391"/>
      <c r="D78" s="86"/>
      <c r="E78" s="86" t="s">
        <v>365</v>
      </c>
      <c r="F78" s="472"/>
      <c r="G78" s="472"/>
      <c r="H78" s="472"/>
      <c r="I78" s="49"/>
      <c r="K78" s="422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4"/>
    </row>
    <row r="79" spans="2:24" ht="23" customHeight="1" x14ac:dyDescent="0.2">
      <c r="B79" s="47"/>
      <c r="C79" s="389"/>
      <c r="D79" s="72" t="s">
        <v>366</v>
      </c>
      <c r="E79" s="72"/>
      <c r="F79" s="400">
        <f>SUM(F80:F84)</f>
        <v>0</v>
      </c>
      <c r="G79" s="400">
        <f>SUM(G80:G84)</f>
        <v>0</v>
      </c>
      <c r="H79" s="400">
        <f>SUM(H80:H84)</f>
        <v>0</v>
      </c>
      <c r="I79" s="49"/>
      <c r="K79" s="422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4"/>
    </row>
    <row r="80" spans="2:24" ht="23" customHeight="1" x14ac:dyDescent="0.15">
      <c r="B80" s="47"/>
      <c r="C80" s="391"/>
      <c r="D80" s="86"/>
      <c r="E80" s="86" t="s">
        <v>690</v>
      </c>
      <c r="F80" s="472"/>
      <c r="G80" s="472"/>
      <c r="H80" s="472"/>
      <c r="I80" s="49"/>
      <c r="K80" s="422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4"/>
    </row>
    <row r="81" spans="2:24" ht="23" customHeight="1" x14ac:dyDescent="0.15">
      <c r="B81" s="47"/>
      <c r="C81" s="391"/>
      <c r="D81" s="86"/>
      <c r="E81" s="86" t="s">
        <v>691</v>
      </c>
      <c r="F81" s="472"/>
      <c r="G81" s="472"/>
      <c r="H81" s="472"/>
      <c r="I81" s="49"/>
      <c r="K81" s="422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4"/>
    </row>
    <row r="82" spans="2:24" ht="23" customHeight="1" x14ac:dyDescent="0.15">
      <c r="B82" s="47"/>
      <c r="C82" s="391"/>
      <c r="D82" s="86"/>
      <c r="E82" s="86" t="s">
        <v>692</v>
      </c>
      <c r="F82" s="472"/>
      <c r="G82" s="472"/>
      <c r="H82" s="472"/>
      <c r="I82" s="49"/>
      <c r="K82" s="422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4"/>
    </row>
    <row r="83" spans="2:24" ht="23" customHeight="1" x14ac:dyDescent="0.15">
      <c r="B83" s="47"/>
      <c r="C83" s="391"/>
      <c r="D83" s="86"/>
      <c r="E83" s="86" t="s">
        <v>693</v>
      </c>
      <c r="F83" s="472"/>
      <c r="G83" s="472"/>
      <c r="H83" s="472"/>
      <c r="I83" s="49"/>
      <c r="K83" s="422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4"/>
    </row>
    <row r="84" spans="2:24" ht="23" customHeight="1" x14ac:dyDescent="0.15">
      <c r="B84" s="47"/>
      <c r="C84" s="391"/>
      <c r="D84" s="86"/>
      <c r="E84" s="86" t="s">
        <v>694</v>
      </c>
      <c r="F84" s="472"/>
      <c r="G84" s="472"/>
      <c r="H84" s="472"/>
      <c r="I84" s="49"/>
      <c r="K84" s="422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4"/>
    </row>
    <row r="85" spans="2:24" ht="23" customHeight="1" x14ac:dyDescent="0.2">
      <c r="B85" s="47"/>
      <c r="C85" s="388" t="s">
        <v>367</v>
      </c>
      <c r="D85" s="69"/>
      <c r="E85" s="68"/>
      <c r="F85" s="397">
        <f>+SUM(F86:F87)</f>
        <v>0</v>
      </c>
      <c r="G85" s="397">
        <f>+SUM(G86:G87)</f>
        <v>0</v>
      </c>
      <c r="H85" s="397">
        <f>+SUM(H86:H87)</f>
        <v>0</v>
      </c>
      <c r="I85" s="49"/>
      <c r="K85" s="422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4"/>
    </row>
    <row r="86" spans="2:24" ht="23" customHeight="1" x14ac:dyDescent="0.2">
      <c r="B86" s="47"/>
      <c r="C86" s="389"/>
      <c r="D86" s="71" t="s">
        <v>368</v>
      </c>
      <c r="E86" s="71"/>
      <c r="F86" s="471"/>
      <c r="G86" s="471"/>
      <c r="H86" s="471"/>
      <c r="I86" s="49"/>
      <c r="K86" s="422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4"/>
    </row>
    <row r="87" spans="2:24" ht="23" customHeight="1" x14ac:dyDescent="0.2">
      <c r="B87" s="47"/>
      <c r="C87" s="389"/>
      <c r="D87" s="71" t="s">
        <v>369</v>
      </c>
      <c r="E87" s="71"/>
      <c r="F87" s="471"/>
      <c r="G87" s="471"/>
      <c r="H87" s="471"/>
      <c r="I87" s="49"/>
      <c r="K87" s="422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4"/>
    </row>
    <row r="88" spans="2:24" ht="23" customHeight="1" thickBot="1" x14ac:dyDescent="0.25">
      <c r="B88" s="47"/>
      <c r="C88" s="390" t="s">
        <v>372</v>
      </c>
      <c r="D88" s="82"/>
      <c r="E88" s="82"/>
      <c r="F88" s="399">
        <f>+F66+F72+F85</f>
        <v>0</v>
      </c>
      <c r="G88" s="399">
        <f>+G66+G72+G85</f>
        <v>0</v>
      </c>
      <c r="H88" s="399">
        <f>+H66+H72+H85</f>
        <v>0</v>
      </c>
      <c r="I88" s="49"/>
      <c r="K88" s="422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4"/>
    </row>
    <row r="89" spans="2:24" ht="23" customHeight="1" x14ac:dyDescent="0.2">
      <c r="B89" s="47"/>
      <c r="C89" s="389"/>
      <c r="D89" s="63"/>
      <c r="E89" s="63"/>
      <c r="F89" s="396"/>
      <c r="G89" s="396"/>
      <c r="H89" s="396"/>
      <c r="I89" s="49"/>
      <c r="K89" s="422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4"/>
    </row>
    <row r="90" spans="2:24" ht="23" customHeight="1" thickBot="1" x14ac:dyDescent="0.25">
      <c r="B90" s="47"/>
      <c r="C90" s="390" t="s">
        <v>370</v>
      </c>
      <c r="D90" s="82"/>
      <c r="E90" s="82"/>
      <c r="F90" s="399">
        <v>0</v>
      </c>
      <c r="G90" s="399">
        <v>0</v>
      </c>
      <c r="H90" s="399">
        <v>0</v>
      </c>
      <c r="I90" s="49"/>
      <c r="K90" s="422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4"/>
    </row>
    <row r="91" spans="2:24" ht="23" customHeight="1" x14ac:dyDescent="0.2">
      <c r="B91" s="47"/>
      <c r="C91" s="389"/>
      <c r="D91" s="63"/>
      <c r="E91" s="63"/>
      <c r="F91" s="396"/>
      <c r="G91" s="396"/>
      <c r="H91" s="396"/>
      <c r="I91" s="49"/>
      <c r="K91" s="422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4"/>
    </row>
    <row r="92" spans="2:24" ht="23" customHeight="1" thickBot="1" x14ac:dyDescent="0.25">
      <c r="B92" s="47"/>
      <c r="C92" s="390" t="s">
        <v>373</v>
      </c>
      <c r="D92" s="82"/>
      <c r="E92" s="82"/>
      <c r="F92" s="399">
        <f>+F42+F63+F88+F90</f>
        <v>-1388176.9300000002</v>
      </c>
      <c r="G92" s="399">
        <f>+G42+G63+G88+G90</f>
        <v>-1095178.0199999996</v>
      </c>
      <c r="H92" s="399">
        <f>+H42+H63+H88+H90</f>
        <v>-1433160.4299999997</v>
      </c>
      <c r="I92" s="49"/>
      <c r="K92" s="422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4"/>
    </row>
    <row r="93" spans="2:24" ht="23" customHeight="1" x14ac:dyDescent="0.2">
      <c r="B93" s="47"/>
      <c r="C93" s="59"/>
      <c r="D93" s="59"/>
      <c r="E93" s="59"/>
      <c r="F93" s="59"/>
      <c r="G93" s="59"/>
      <c r="H93" s="59"/>
      <c r="I93" s="49"/>
      <c r="K93" s="422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4"/>
    </row>
    <row r="94" spans="2:24" ht="23" customHeight="1" thickBot="1" x14ac:dyDescent="0.25">
      <c r="B94" s="47"/>
      <c r="C94" s="401" t="s">
        <v>768</v>
      </c>
      <c r="D94" s="402"/>
      <c r="E94" s="402"/>
      <c r="F94" s="473">
        <v>0</v>
      </c>
      <c r="G94" s="403">
        <f>+F95</f>
        <v>51819.9</v>
      </c>
      <c r="H94" s="403">
        <f>+G95</f>
        <v>7607.74</v>
      </c>
      <c r="I94" s="49"/>
      <c r="K94" s="1237"/>
      <c r="L94" s="1238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4"/>
    </row>
    <row r="95" spans="2:24" ht="23" customHeight="1" thickBot="1" x14ac:dyDescent="0.25">
      <c r="B95" s="47"/>
      <c r="C95" s="390" t="s">
        <v>371</v>
      </c>
      <c r="D95" s="82"/>
      <c r="E95" s="82"/>
      <c r="F95" s="399">
        <f>'FC-4_ACTIVO'!E90</f>
        <v>51819.9</v>
      </c>
      <c r="G95" s="399">
        <f>+'FC-4_ACTIVO'!F90</f>
        <v>7607.74</v>
      </c>
      <c r="H95" s="399">
        <f>+'FC-4_ACTIVO'!G90</f>
        <v>249986.03999999998</v>
      </c>
      <c r="I95" s="49"/>
      <c r="K95" s="1237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4"/>
    </row>
    <row r="96" spans="2:24" ht="23" customHeight="1" x14ac:dyDescent="0.2">
      <c r="B96" s="47"/>
      <c r="C96" s="820"/>
      <c r="D96" s="821"/>
      <c r="E96" s="821"/>
      <c r="F96" s="822"/>
      <c r="G96" s="822"/>
      <c r="H96" s="822"/>
      <c r="I96" s="49"/>
      <c r="K96" s="422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4"/>
    </row>
    <row r="97" spans="2:24" ht="23" customHeight="1" x14ac:dyDescent="0.2">
      <c r="B97" s="47"/>
      <c r="C97" s="106" t="s">
        <v>729</v>
      </c>
      <c r="D97" s="821"/>
      <c r="E97" s="821"/>
      <c r="F97" s="822"/>
      <c r="G97" s="822"/>
      <c r="H97" s="822"/>
      <c r="I97" s="49"/>
      <c r="K97" s="422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4"/>
    </row>
    <row r="98" spans="2:24" ht="23" customHeight="1" x14ac:dyDescent="0.2">
      <c r="B98" s="47"/>
      <c r="C98" s="823" t="s">
        <v>769</v>
      </c>
      <c r="D98" s="821"/>
      <c r="E98" s="821"/>
      <c r="F98" s="822"/>
      <c r="G98" s="822"/>
      <c r="H98" s="822"/>
      <c r="I98" s="49"/>
      <c r="K98" s="422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4"/>
    </row>
    <row r="99" spans="2:24" ht="23" customHeight="1" x14ac:dyDescent="0.2">
      <c r="B99" s="47"/>
      <c r="C99" s="820"/>
      <c r="D99" s="821"/>
      <c r="E99" s="821"/>
      <c r="F99" s="822"/>
      <c r="G99" s="822"/>
      <c r="H99" s="822"/>
      <c r="I99" s="49"/>
      <c r="K99" s="422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4"/>
    </row>
    <row r="100" spans="2:24" ht="23" customHeight="1" thickBot="1" x14ac:dyDescent="0.2">
      <c r="B100" s="51"/>
      <c r="C100" s="1375"/>
      <c r="D100" s="1375"/>
      <c r="E100" s="1375"/>
      <c r="F100" s="1375"/>
      <c r="G100" s="1375"/>
      <c r="H100" s="93"/>
      <c r="I100" s="54"/>
      <c r="K100" s="425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  <c r="W100" s="426"/>
      <c r="X100" s="427"/>
    </row>
    <row r="101" spans="2:24" ht="23" customHeight="1" x14ac:dyDescent="0.15">
      <c r="C101" s="43"/>
      <c r="D101" s="43"/>
      <c r="E101" s="43"/>
      <c r="F101" s="89"/>
      <c r="G101" s="89"/>
      <c r="H101" s="89"/>
      <c r="J101" s="41" t="s">
        <v>936</v>
      </c>
    </row>
    <row r="102" spans="2:24" ht="13" x14ac:dyDescent="0.15">
      <c r="C102" s="36" t="s">
        <v>70</v>
      </c>
      <c r="D102" s="43"/>
      <c r="E102" s="43"/>
      <c r="F102" s="89"/>
      <c r="G102" s="89"/>
      <c r="H102" s="94" t="s">
        <v>43</v>
      </c>
    </row>
    <row r="103" spans="2:24" ht="13" x14ac:dyDescent="0.15">
      <c r="C103" s="37" t="s">
        <v>71</v>
      </c>
      <c r="D103" s="43"/>
      <c r="E103" s="43"/>
      <c r="F103" s="89"/>
      <c r="G103" s="89"/>
      <c r="H103" s="89"/>
    </row>
    <row r="104" spans="2:24" ht="13" x14ac:dyDescent="0.15">
      <c r="C104" s="37" t="s">
        <v>72</v>
      </c>
      <c r="D104" s="43"/>
      <c r="E104" s="43"/>
      <c r="F104" s="89"/>
      <c r="G104" s="89"/>
      <c r="H104" s="89"/>
    </row>
    <row r="105" spans="2:24" ht="13" x14ac:dyDescent="0.15">
      <c r="C105" s="37" t="s">
        <v>73</v>
      </c>
      <c r="D105" s="43"/>
      <c r="E105" s="43"/>
      <c r="F105" s="89"/>
      <c r="G105" s="89"/>
      <c r="H105" s="89"/>
    </row>
    <row r="106" spans="2:24" ht="13" x14ac:dyDescent="0.15">
      <c r="C106" s="37" t="s">
        <v>74</v>
      </c>
      <c r="D106" s="43"/>
      <c r="E106" s="43"/>
      <c r="F106" s="89"/>
      <c r="G106" s="89"/>
      <c r="H106" s="89"/>
    </row>
    <row r="107" spans="2:24" ht="23" customHeight="1" x14ac:dyDescent="0.15">
      <c r="C107" s="43"/>
      <c r="D107" s="43"/>
      <c r="E107" s="43"/>
      <c r="F107" s="89"/>
      <c r="G107" s="89"/>
      <c r="H107" s="89"/>
    </row>
    <row r="108" spans="2:24" ht="23" customHeight="1" x14ac:dyDescent="0.15">
      <c r="C108" s="43"/>
      <c r="D108" s="43"/>
      <c r="E108" s="43"/>
      <c r="F108" s="89"/>
      <c r="G108" s="89"/>
      <c r="H108" s="89"/>
    </row>
    <row r="109" spans="2:24" ht="23" customHeight="1" x14ac:dyDescent="0.15">
      <c r="C109" s="43"/>
      <c r="D109" s="43"/>
      <c r="E109" s="43"/>
      <c r="F109" s="89"/>
      <c r="G109" s="89"/>
      <c r="H109" s="89"/>
    </row>
    <row r="110" spans="2:24" ht="23" customHeight="1" x14ac:dyDescent="0.15">
      <c r="C110" s="43"/>
      <c r="D110" s="43"/>
      <c r="E110" s="43"/>
      <c r="F110" s="89"/>
      <c r="G110" s="89"/>
      <c r="H110" s="89"/>
    </row>
    <row r="111" spans="2:24" ht="23" customHeight="1" x14ac:dyDescent="0.15">
      <c r="G111" s="89"/>
      <c r="H111" s="89"/>
    </row>
  </sheetData>
  <sheetProtection sheet="1" objects="1" scenarios="1"/>
  <mergeCells count="3">
    <mergeCell ref="H6:H7"/>
    <mergeCell ref="D9:H9"/>
    <mergeCell ref="C100:G100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3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H66"/>
  <sheetViews>
    <sheetView topLeftCell="A13" zoomScale="84" workbookViewId="0">
      <selection activeCell="K44" sqref="K44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5703125" style="96" customWidth="1"/>
    <col min="4" max="4" width="42.7109375" style="96" customWidth="1"/>
    <col min="5" max="5" width="12.7109375" style="97" customWidth="1"/>
    <col min="6" max="6" width="17.28515625" style="97" customWidth="1"/>
    <col min="7" max="8" width="15.7109375" style="97" customWidth="1"/>
    <col min="9" max="18" width="12.7109375" style="97" customWidth="1"/>
    <col min="19" max="19" width="3.28515625" style="96" customWidth="1"/>
    <col min="20" max="16384" width="10.7109375" style="96"/>
  </cols>
  <sheetData>
    <row r="2" spans="1:34" ht="23" customHeight="1" x14ac:dyDescent="0.15">
      <c r="D2" s="311" t="str">
        <f>_GENERAL!D2</f>
        <v>Área de Presidencia, Hacienda y Modernización</v>
      </c>
    </row>
    <row r="3" spans="1:34" ht="23" customHeight="1" x14ac:dyDescent="0.15">
      <c r="D3" s="311" t="str">
        <f>_GENERAL!D3</f>
        <v>Dirección Insular de Hacienda</v>
      </c>
    </row>
    <row r="4" spans="1:34" ht="23" customHeight="1" thickBot="1" x14ac:dyDescent="0.2">
      <c r="A4" s="96" t="s">
        <v>935</v>
      </c>
    </row>
    <row r="5" spans="1:34" ht="9" customHeight="1" x14ac:dyDescent="0.15">
      <c r="B5" s="98"/>
      <c r="C5" s="99"/>
      <c r="D5" s="99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1"/>
      <c r="U5" s="406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  <c r="AG5" s="407"/>
      <c r="AH5" s="408"/>
    </row>
    <row r="6" spans="1:34" ht="30" customHeight="1" x14ac:dyDescent="0.2">
      <c r="B6" s="102"/>
      <c r="C6" s="66" t="s">
        <v>0</v>
      </c>
      <c r="D6" s="103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362">
        <f>ejercicio</f>
        <v>2020</v>
      </c>
      <c r="S6" s="105"/>
      <c r="U6" s="409"/>
      <c r="V6" s="410" t="s">
        <v>677</v>
      </c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1"/>
      <c r="AH6" s="412"/>
    </row>
    <row r="7" spans="1:34" ht="30" customHeight="1" x14ac:dyDescent="0.2">
      <c r="B7" s="102"/>
      <c r="C7" s="66" t="s">
        <v>1</v>
      </c>
      <c r="D7" s="103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362"/>
      <c r="S7" s="105"/>
      <c r="U7" s="409"/>
      <c r="V7" s="411"/>
      <c r="W7" s="411"/>
      <c r="X7" s="411"/>
      <c r="Y7" s="411"/>
      <c r="Z7" s="411"/>
      <c r="AA7" s="411"/>
      <c r="AB7" s="411"/>
      <c r="AC7" s="411"/>
      <c r="AD7" s="411"/>
      <c r="AE7" s="411"/>
      <c r="AF7" s="411"/>
      <c r="AG7" s="411"/>
      <c r="AH7" s="412"/>
    </row>
    <row r="8" spans="1:34" ht="30" customHeight="1" x14ac:dyDescent="0.15">
      <c r="B8" s="102"/>
      <c r="C8" s="106"/>
      <c r="D8" s="103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7"/>
      <c r="S8" s="105"/>
      <c r="U8" s="409"/>
      <c r="V8" s="411"/>
      <c r="W8" s="411"/>
      <c r="X8" s="411"/>
      <c r="Y8" s="411"/>
      <c r="Z8" s="411"/>
      <c r="AA8" s="411"/>
      <c r="AB8" s="411"/>
      <c r="AC8" s="411"/>
      <c r="AD8" s="411"/>
      <c r="AE8" s="411"/>
      <c r="AF8" s="411"/>
      <c r="AG8" s="411"/>
      <c r="AH8" s="412"/>
    </row>
    <row r="9" spans="1:34" s="64" customFormat="1" ht="30" customHeight="1" x14ac:dyDescent="0.2">
      <c r="B9" s="108"/>
      <c r="C9" s="39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376"/>
      <c r="I9" s="1376"/>
      <c r="J9" s="1376"/>
      <c r="K9" s="1376"/>
      <c r="L9" s="1376"/>
      <c r="M9" s="1376"/>
      <c r="N9" s="1376"/>
      <c r="O9" s="1376"/>
      <c r="P9" s="1376"/>
      <c r="Q9" s="1376"/>
      <c r="R9" s="1376"/>
      <c r="S9" s="109"/>
      <c r="U9" s="413"/>
      <c r="V9" s="414"/>
      <c r="W9" s="414"/>
      <c r="X9" s="414"/>
      <c r="Y9" s="414"/>
      <c r="Z9" s="414"/>
      <c r="AA9" s="414"/>
      <c r="AB9" s="414"/>
      <c r="AC9" s="414"/>
      <c r="AD9" s="414"/>
      <c r="AE9" s="414"/>
      <c r="AF9" s="414"/>
      <c r="AG9" s="414"/>
      <c r="AH9" s="415"/>
    </row>
    <row r="10" spans="1:34" ht="7.25" customHeight="1" x14ac:dyDescent="0.15">
      <c r="B10" s="102"/>
      <c r="C10" s="103"/>
      <c r="D10" s="103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5"/>
      <c r="U10" s="409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1"/>
      <c r="AH10" s="412"/>
    </row>
    <row r="11" spans="1:34" s="114" customFormat="1" ht="30" customHeight="1" x14ac:dyDescent="0.2">
      <c r="B11" s="110"/>
      <c r="C11" s="111" t="s">
        <v>733</v>
      </c>
      <c r="D11" s="111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3"/>
      <c r="U11" s="416"/>
      <c r="V11" s="417"/>
      <c r="W11" s="417"/>
      <c r="X11" s="417"/>
      <c r="Y11" s="417"/>
      <c r="Z11" s="417"/>
      <c r="AA11" s="417"/>
      <c r="AB11" s="417"/>
      <c r="AC11" s="417"/>
      <c r="AD11" s="417"/>
      <c r="AE11" s="417"/>
      <c r="AF11" s="417"/>
      <c r="AG11" s="417"/>
      <c r="AH11" s="418"/>
    </row>
    <row r="12" spans="1:34" s="114" customFormat="1" ht="30" customHeight="1" x14ac:dyDescent="0.2">
      <c r="B12" s="110"/>
      <c r="C12" s="115"/>
      <c r="D12" s="11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113"/>
      <c r="U12" s="416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7"/>
      <c r="AG12" s="417"/>
      <c r="AH12" s="418"/>
    </row>
    <row r="13" spans="1:34" s="118" customFormat="1" ht="19.25" customHeight="1" x14ac:dyDescent="0.15">
      <c r="B13" s="116"/>
      <c r="C13" s="373"/>
      <c r="D13" s="373"/>
      <c r="E13" s="373"/>
      <c r="F13" s="373"/>
      <c r="G13" s="373"/>
      <c r="H13" s="374" t="s">
        <v>380</v>
      </c>
      <c r="I13" s="1426" t="s">
        <v>738</v>
      </c>
      <c r="J13" s="1427"/>
      <c r="K13" s="1427"/>
      <c r="L13" s="1427"/>
      <c r="M13" s="1428"/>
      <c r="N13" s="375"/>
      <c r="O13" s="376"/>
      <c r="P13" s="377" t="s">
        <v>383</v>
      </c>
      <c r="Q13" s="378">
        <f>ejercicio-1</f>
        <v>2019</v>
      </c>
      <c r="R13" s="787" t="s">
        <v>739</v>
      </c>
      <c r="S13" s="117"/>
      <c r="U13" s="409"/>
      <c r="V13" s="411"/>
      <c r="W13" s="411"/>
      <c r="X13" s="411"/>
      <c r="Y13" s="411"/>
      <c r="Z13" s="411"/>
      <c r="AA13" s="411"/>
      <c r="AB13" s="411"/>
      <c r="AC13" s="411"/>
      <c r="AD13" s="411"/>
      <c r="AE13" s="411"/>
      <c r="AF13" s="411"/>
      <c r="AG13" s="411"/>
      <c r="AH13" s="412"/>
    </row>
    <row r="14" spans="1:34" s="119" customFormat="1" ht="19.25" customHeight="1" x14ac:dyDescent="0.15">
      <c r="B14" s="116"/>
      <c r="C14" s="379"/>
      <c r="D14" s="379"/>
      <c r="E14" s="379"/>
      <c r="F14" s="379"/>
      <c r="G14" s="379"/>
      <c r="H14" s="380" t="s">
        <v>381</v>
      </c>
      <c r="I14" s="381"/>
      <c r="J14" s="382"/>
      <c r="K14" s="382"/>
      <c r="L14" s="382"/>
      <c r="M14" s="383"/>
      <c r="N14" s="381"/>
      <c r="O14" s="382"/>
      <c r="P14" s="382"/>
      <c r="Q14" s="382"/>
      <c r="R14" s="383"/>
      <c r="S14" s="117"/>
      <c r="U14" s="409"/>
      <c r="V14" s="411"/>
      <c r="W14" s="411"/>
      <c r="X14" s="411"/>
      <c r="Y14" s="411"/>
      <c r="Z14" s="411"/>
      <c r="AA14" s="411"/>
      <c r="AB14" s="411"/>
      <c r="AC14" s="411"/>
      <c r="AD14" s="411"/>
      <c r="AE14" s="411"/>
      <c r="AF14" s="411"/>
      <c r="AG14" s="411"/>
      <c r="AH14" s="412"/>
    </row>
    <row r="15" spans="1:34" s="119" customFormat="1" ht="19.25" customHeight="1" x14ac:dyDescent="0.15">
      <c r="B15" s="116"/>
      <c r="C15" s="384" t="s">
        <v>376</v>
      </c>
      <c r="D15" s="384" t="s">
        <v>377</v>
      </c>
      <c r="E15" s="384" t="s">
        <v>378</v>
      </c>
      <c r="F15" s="384" t="s">
        <v>379</v>
      </c>
      <c r="G15" s="384" t="s">
        <v>734</v>
      </c>
      <c r="H15" s="384">
        <f>ejercicio-1</f>
        <v>2019</v>
      </c>
      <c r="I15" s="384">
        <f>+ejercicio</f>
        <v>2020</v>
      </c>
      <c r="J15" s="384">
        <f>ejercicio+1</f>
        <v>2021</v>
      </c>
      <c r="K15" s="384">
        <f>ejercicio+2</f>
        <v>2022</v>
      </c>
      <c r="L15" s="384">
        <f>ejercicio+3</f>
        <v>2023</v>
      </c>
      <c r="M15" s="384" t="s">
        <v>382</v>
      </c>
      <c r="N15" s="384">
        <f>+ejercicio</f>
        <v>2020</v>
      </c>
      <c r="O15" s="384">
        <f>ejercicio+1</f>
        <v>2021</v>
      </c>
      <c r="P15" s="384">
        <f>ejercicio+2</f>
        <v>2022</v>
      </c>
      <c r="Q15" s="384">
        <f>ejercicio+3</f>
        <v>2023</v>
      </c>
      <c r="R15" s="384" t="s">
        <v>382</v>
      </c>
      <c r="S15" s="117"/>
      <c r="U15" s="409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1"/>
      <c r="AG15" s="411"/>
      <c r="AH15" s="412"/>
    </row>
    <row r="16" spans="1:34" ht="23" customHeight="1" x14ac:dyDescent="0.15">
      <c r="B16" s="116"/>
      <c r="C16" s="474"/>
      <c r="D16" s="1224" t="s">
        <v>1102</v>
      </c>
      <c r="E16" s="475"/>
      <c r="F16" s="475">
        <v>2020</v>
      </c>
      <c r="G16" s="476">
        <v>30000</v>
      </c>
      <c r="H16" s="476"/>
      <c r="I16" s="476">
        <v>30000</v>
      </c>
      <c r="J16" s="476"/>
      <c r="K16" s="476"/>
      <c r="L16" s="476"/>
      <c r="M16" s="476"/>
      <c r="N16" s="476"/>
      <c r="O16" s="476"/>
      <c r="P16" s="476"/>
      <c r="Q16" s="476"/>
      <c r="R16" s="476"/>
      <c r="S16" s="105"/>
      <c r="U16" s="409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2"/>
    </row>
    <row r="17" spans="2:34" ht="23" customHeight="1" x14ac:dyDescent="0.15">
      <c r="B17" s="116"/>
      <c r="C17" s="477"/>
      <c r="D17" s="1225"/>
      <c r="E17" s="479"/>
      <c r="F17" s="479"/>
      <c r="G17" s="480"/>
      <c r="H17" s="480"/>
      <c r="I17" s="480"/>
      <c r="J17" s="480"/>
      <c r="K17" s="480"/>
      <c r="L17" s="480"/>
      <c r="M17" s="480"/>
      <c r="N17" s="480"/>
      <c r="O17" s="480"/>
      <c r="P17" s="480"/>
      <c r="Q17" s="480"/>
      <c r="R17" s="480"/>
      <c r="S17" s="105"/>
      <c r="U17" s="409"/>
      <c r="V17" s="411"/>
      <c r="W17" s="411"/>
      <c r="X17" s="411"/>
      <c r="Y17" s="411"/>
      <c r="Z17" s="411"/>
      <c r="AA17" s="411"/>
      <c r="AB17" s="411"/>
      <c r="AC17" s="411"/>
      <c r="AD17" s="411"/>
      <c r="AE17" s="411"/>
      <c r="AF17" s="411"/>
      <c r="AG17" s="411"/>
      <c r="AH17" s="412"/>
    </row>
    <row r="18" spans="2:34" ht="23" customHeight="1" x14ac:dyDescent="0.15">
      <c r="B18" s="116"/>
      <c r="C18" s="477"/>
      <c r="D18" s="1225"/>
      <c r="E18" s="479"/>
      <c r="F18" s="479"/>
      <c r="G18" s="480"/>
      <c r="H18" s="480"/>
      <c r="I18" s="480"/>
      <c r="J18" s="480"/>
      <c r="K18" s="480"/>
      <c r="L18" s="480"/>
      <c r="M18" s="480"/>
      <c r="N18" s="480"/>
      <c r="O18" s="480"/>
      <c r="P18" s="480"/>
      <c r="Q18" s="480"/>
      <c r="R18" s="480"/>
      <c r="S18" s="105"/>
      <c r="U18" s="409"/>
      <c r="V18" s="411"/>
      <c r="W18" s="411"/>
      <c r="X18" s="411"/>
      <c r="Y18" s="411"/>
      <c r="Z18" s="411"/>
      <c r="AA18" s="411"/>
      <c r="AB18" s="411"/>
      <c r="AC18" s="411"/>
      <c r="AD18" s="411"/>
      <c r="AE18" s="411"/>
      <c r="AF18" s="411"/>
      <c r="AG18" s="411"/>
      <c r="AH18" s="412"/>
    </row>
    <row r="19" spans="2:34" ht="23" customHeight="1" x14ac:dyDescent="0.15">
      <c r="B19" s="116"/>
      <c r="C19" s="477"/>
      <c r="D19" s="1225"/>
      <c r="E19" s="479"/>
      <c r="F19" s="479"/>
      <c r="G19" s="480"/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105"/>
      <c r="U19" s="409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1"/>
      <c r="AG19" s="411"/>
      <c r="AH19" s="412"/>
    </row>
    <row r="20" spans="2:34" ht="23" customHeight="1" x14ac:dyDescent="0.15">
      <c r="B20" s="116"/>
      <c r="C20" s="477"/>
      <c r="D20" s="1225"/>
      <c r="E20" s="479"/>
      <c r="F20" s="479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105"/>
      <c r="U20" s="409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2"/>
    </row>
    <row r="21" spans="2:34" ht="23" customHeight="1" x14ac:dyDescent="0.15">
      <c r="B21" s="116"/>
      <c r="C21" s="477"/>
      <c r="D21" s="478"/>
      <c r="E21" s="479"/>
      <c r="F21" s="479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0"/>
      <c r="R21" s="480"/>
      <c r="S21" s="105"/>
      <c r="U21" s="409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  <c r="AH21" s="412"/>
    </row>
    <row r="22" spans="2:34" ht="23" customHeight="1" x14ac:dyDescent="0.15">
      <c r="B22" s="116"/>
      <c r="C22" s="477"/>
      <c r="D22" s="478"/>
      <c r="E22" s="479"/>
      <c r="F22" s="479"/>
      <c r="G22" s="480"/>
      <c r="H22" s="480"/>
      <c r="I22" s="480"/>
      <c r="J22" s="480"/>
      <c r="K22" s="480"/>
      <c r="L22" s="480"/>
      <c r="M22" s="480"/>
      <c r="N22" s="480"/>
      <c r="O22" s="480"/>
      <c r="P22" s="480"/>
      <c r="Q22" s="480"/>
      <c r="R22" s="480"/>
      <c r="S22" s="105"/>
      <c r="U22" s="409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1"/>
      <c r="AH22" s="412"/>
    </row>
    <row r="23" spans="2:34" ht="23" customHeight="1" x14ac:dyDescent="0.15">
      <c r="B23" s="116"/>
      <c r="C23" s="477"/>
      <c r="D23" s="478"/>
      <c r="E23" s="479"/>
      <c r="F23" s="479"/>
      <c r="G23" s="480"/>
      <c r="H23" s="480"/>
      <c r="I23" s="480"/>
      <c r="J23" s="480"/>
      <c r="K23" s="480"/>
      <c r="L23" s="480"/>
      <c r="M23" s="480"/>
      <c r="N23" s="480"/>
      <c r="O23" s="480"/>
      <c r="P23" s="480"/>
      <c r="Q23" s="480"/>
      <c r="R23" s="480"/>
      <c r="S23" s="105"/>
      <c r="U23" s="409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2"/>
    </row>
    <row r="24" spans="2:34" ht="23" customHeight="1" x14ac:dyDescent="0.15">
      <c r="B24" s="116"/>
      <c r="C24" s="477"/>
      <c r="D24" s="478"/>
      <c r="E24" s="479"/>
      <c r="F24" s="479"/>
      <c r="G24" s="480"/>
      <c r="H24" s="480"/>
      <c r="I24" s="480"/>
      <c r="J24" s="480"/>
      <c r="K24" s="480"/>
      <c r="L24" s="480"/>
      <c r="M24" s="480"/>
      <c r="N24" s="480"/>
      <c r="O24" s="480"/>
      <c r="P24" s="480"/>
      <c r="Q24" s="480"/>
      <c r="R24" s="480"/>
      <c r="S24" s="105"/>
      <c r="U24" s="409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  <c r="AH24" s="412"/>
    </row>
    <row r="25" spans="2:34" ht="23" customHeight="1" x14ac:dyDescent="0.15">
      <c r="B25" s="116"/>
      <c r="C25" s="477"/>
      <c r="D25" s="478"/>
      <c r="E25" s="479"/>
      <c r="F25" s="479"/>
      <c r="G25" s="480"/>
      <c r="H25" s="480"/>
      <c r="I25" s="480"/>
      <c r="J25" s="480"/>
      <c r="K25" s="480"/>
      <c r="L25" s="480"/>
      <c r="M25" s="480"/>
      <c r="N25" s="480"/>
      <c r="O25" s="480"/>
      <c r="P25" s="480"/>
      <c r="Q25" s="480"/>
      <c r="R25" s="480"/>
      <c r="S25" s="105"/>
      <c r="U25" s="409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  <c r="AH25" s="412"/>
    </row>
    <row r="26" spans="2:34" ht="23" customHeight="1" x14ac:dyDescent="0.15">
      <c r="B26" s="116"/>
      <c r="C26" s="477"/>
      <c r="D26" s="478"/>
      <c r="E26" s="479"/>
      <c r="F26" s="479"/>
      <c r="G26" s="480"/>
      <c r="H26" s="480"/>
      <c r="I26" s="480"/>
      <c r="J26" s="480"/>
      <c r="K26" s="480"/>
      <c r="L26" s="480"/>
      <c r="M26" s="480"/>
      <c r="N26" s="480"/>
      <c r="O26" s="480"/>
      <c r="P26" s="480"/>
      <c r="Q26" s="480"/>
      <c r="R26" s="480"/>
      <c r="S26" s="105"/>
      <c r="U26" s="409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2"/>
    </row>
    <row r="27" spans="2:34" ht="23" customHeight="1" x14ac:dyDescent="0.15">
      <c r="B27" s="116"/>
      <c r="C27" s="477"/>
      <c r="D27" s="478"/>
      <c r="E27" s="479"/>
      <c r="F27" s="479"/>
      <c r="G27" s="480"/>
      <c r="H27" s="480"/>
      <c r="I27" s="480"/>
      <c r="J27" s="480"/>
      <c r="K27" s="480"/>
      <c r="L27" s="480"/>
      <c r="M27" s="480"/>
      <c r="N27" s="480"/>
      <c r="O27" s="480"/>
      <c r="P27" s="480"/>
      <c r="Q27" s="480"/>
      <c r="R27" s="480"/>
      <c r="S27" s="105"/>
      <c r="U27" s="409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2"/>
    </row>
    <row r="28" spans="2:34" ht="23" customHeight="1" x14ac:dyDescent="0.15">
      <c r="B28" s="116"/>
      <c r="C28" s="477"/>
      <c r="D28" s="478"/>
      <c r="E28" s="479"/>
      <c r="F28" s="479"/>
      <c r="G28" s="480"/>
      <c r="H28" s="480"/>
      <c r="I28" s="480"/>
      <c r="J28" s="480"/>
      <c r="K28" s="480"/>
      <c r="L28" s="480"/>
      <c r="M28" s="480"/>
      <c r="N28" s="480"/>
      <c r="O28" s="480"/>
      <c r="P28" s="480"/>
      <c r="Q28" s="480"/>
      <c r="R28" s="480"/>
      <c r="S28" s="105"/>
      <c r="U28" s="409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12"/>
    </row>
    <row r="29" spans="2:34" ht="23" customHeight="1" x14ac:dyDescent="0.15">
      <c r="B29" s="116"/>
      <c r="C29" s="477"/>
      <c r="D29" s="478"/>
      <c r="E29" s="479"/>
      <c r="F29" s="479"/>
      <c r="G29" s="480"/>
      <c r="H29" s="480"/>
      <c r="I29" s="480"/>
      <c r="J29" s="480"/>
      <c r="K29" s="480"/>
      <c r="L29" s="480"/>
      <c r="M29" s="480"/>
      <c r="N29" s="480"/>
      <c r="O29" s="480"/>
      <c r="P29" s="480"/>
      <c r="Q29" s="480"/>
      <c r="R29" s="480"/>
      <c r="S29" s="105"/>
      <c r="U29" s="409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  <c r="AH29" s="412"/>
    </row>
    <row r="30" spans="2:34" ht="23" customHeight="1" x14ac:dyDescent="0.15">
      <c r="B30" s="116"/>
      <c r="C30" s="477"/>
      <c r="D30" s="478"/>
      <c r="E30" s="479"/>
      <c r="F30" s="479"/>
      <c r="G30" s="480"/>
      <c r="H30" s="480"/>
      <c r="I30" s="480"/>
      <c r="J30" s="480"/>
      <c r="K30" s="480"/>
      <c r="L30" s="480"/>
      <c r="M30" s="480"/>
      <c r="N30" s="480"/>
      <c r="O30" s="480"/>
      <c r="P30" s="480"/>
      <c r="Q30" s="480"/>
      <c r="R30" s="480"/>
      <c r="S30" s="105"/>
      <c r="U30" s="419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0"/>
      <c r="AG30" s="420"/>
      <c r="AH30" s="421"/>
    </row>
    <row r="31" spans="2:34" ht="23" customHeight="1" x14ac:dyDescent="0.15">
      <c r="B31" s="116"/>
      <c r="C31" s="477"/>
      <c r="D31" s="478"/>
      <c r="E31" s="479"/>
      <c r="F31" s="479"/>
      <c r="G31" s="480"/>
      <c r="H31" s="480"/>
      <c r="I31" s="480"/>
      <c r="J31" s="480"/>
      <c r="K31" s="480"/>
      <c r="L31" s="480"/>
      <c r="M31" s="480"/>
      <c r="N31" s="480"/>
      <c r="O31" s="480"/>
      <c r="P31" s="480"/>
      <c r="Q31" s="480"/>
      <c r="R31" s="480"/>
      <c r="S31" s="105"/>
      <c r="U31" s="419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420"/>
      <c r="AH31" s="421"/>
    </row>
    <row r="32" spans="2:34" ht="23" customHeight="1" x14ac:dyDescent="0.15">
      <c r="B32" s="116"/>
      <c r="C32" s="477"/>
      <c r="D32" s="478"/>
      <c r="E32" s="479"/>
      <c r="F32" s="479"/>
      <c r="G32" s="480"/>
      <c r="H32" s="480"/>
      <c r="I32" s="480"/>
      <c r="J32" s="480"/>
      <c r="K32" s="480"/>
      <c r="L32" s="480"/>
      <c r="M32" s="480"/>
      <c r="N32" s="480"/>
      <c r="O32" s="480"/>
      <c r="P32" s="480"/>
      <c r="Q32" s="480"/>
      <c r="R32" s="480"/>
      <c r="S32" s="105"/>
      <c r="U32" s="409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1"/>
      <c r="AG32" s="411"/>
      <c r="AH32" s="412"/>
    </row>
    <row r="33" spans="2:34" ht="23" customHeight="1" x14ac:dyDescent="0.15">
      <c r="B33" s="116"/>
      <c r="C33" s="477"/>
      <c r="D33" s="478"/>
      <c r="E33" s="479"/>
      <c r="F33" s="479"/>
      <c r="G33" s="480"/>
      <c r="H33" s="480"/>
      <c r="I33" s="480"/>
      <c r="J33" s="480"/>
      <c r="K33" s="480"/>
      <c r="L33" s="480"/>
      <c r="M33" s="480"/>
      <c r="N33" s="480"/>
      <c r="O33" s="480"/>
      <c r="P33" s="480"/>
      <c r="Q33" s="480"/>
      <c r="R33" s="480"/>
      <c r="S33" s="105"/>
      <c r="U33" s="409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1"/>
      <c r="AH33" s="412"/>
    </row>
    <row r="34" spans="2:34" ht="23" customHeight="1" x14ac:dyDescent="0.15">
      <c r="B34" s="116"/>
      <c r="C34" s="477"/>
      <c r="D34" s="478"/>
      <c r="E34" s="479"/>
      <c r="F34" s="479"/>
      <c r="G34" s="480"/>
      <c r="H34" s="480"/>
      <c r="I34" s="480"/>
      <c r="J34" s="480"/>
      <c r="K34" s="480"/>
      <c r="L34" s="480"/>
      <c r="M34" s="480"/>
      <c r="N34" s="480"/>
      <c r="O34" s="480"/>
      <c r="P34" s="480"/>
      <c r="Q34" s="480"/>
      <c r="R34" s="480"/>
      <c r="S34" s="105"/>
      <c r="U34" s="409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2"/>
    </row>
    <row r="35" spans="2:34" ht="23" customHeight="1" x14ac:dyDescent="0.15">
      <c r="B35" s="116"/>
      <c r="C35" s="477"/>
      <c r="D35" s="478"/>
      <c r="E35" s="479"/>
      <c r="F35" s="479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105"/>
      <c r="U35" s="409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2"/>
    </row>
    <row r="36" spans="2:34" ht="23" customHeight="1" x14ac:dyDescent="0.15">
      <c r="B36" s="116"/>
      <c r="C36" s="477"/>
      <c r="D36" s="478"/>
      <c r="E36" s="479"/>
      <c r="F36" s="479"/>
      <c r="G36" s="480"/>
      <c r="H36" s="480"/>
      <c r="I36" s="480"/>
      <c r="J36" s="480"/>
      <c r="K36" s="480"/>
      <c r="L36" s="480"/>
      <c r="M36" s="480"/>
      <c r="N36" s="480"/>
      <c r="O36" s="480"/>
      <c r="P36" s="480"/>
      <c r="Q36" s="480"/>
      <c r="R36" s="480"/>
      <c r="S36" s="105"/>
      <c r="U36" s="422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4"/>
    </row>
    <row r="37" spans="2:34" ht="23" customHeight="1" x14ac:dyDescent="0.15">
      <c r="B37" s="116"/>
      <c r="C37" s="477"/>
      <c r="D37" s="478"/>
      <c r="E37" s="479"/>
      <c r="F37" s="479"/>
      <c r="G37" s="480"/>
      <c r="H37" s="480"/>
      <c r="I37" s="480"/>
      <c r="J37" s="480"/>
      <c r="K37" s="480"/>
      <c r="L37" s="480"/>
      <c r="M37" s="480"/>
      <c r="N37" s="480"/>
      <c r="O37" s="480"/>
      <c r="P37" s="480"/>
      <c r="Q37" s="480"/>
      <c r="R37" s="480"/>
      <c r="S37" s="105"/>
      <c r="U37" s="422"/>
      <c r="V37" s="423"/>
      <c r="W37" s="423"/>
      <c r="X37" s="423"/>
      <c r="Y37" s="423"/>
      <c r="Z37" s="423"/>
      <c r="AA37" s="423"/>
      <c r="AB37" s="423"/>
      <c r="AC37" s="423"/>
      <c r="AD37" s="423"/>
      <c r="AE37" s="423"/>
      <c r="AF37" s="423"/>
      <c r="AG37" s="423"/>
      <c r="AH37" s="424"/>
    </row>
    <row r="38" spans="2:34" ht="23" customHeight="1" x14ac:dyDescent="0.15">
      <c r="B38" s="116"/>
      <c r="C38" s="477"/>
      <c r="D38" s="478"/>
      <c r="E38" s="479"/>
      <c r="F38" s="479"/>
      <c r="G38" s="480"/>
      <c r="H38" s="480"/>
      <c r="I38" s="480"/>
      <c r="J38" s="480"/>
      <c r="K38" s="480"/>
      <c r="L38" s="480"/>
      <c r="M38" s="480"/>
      <c r="N38" s="480"/>
      <c r="O38" s="480"/>
      <c r="P38" s="480"/>
      <c r="Q38" s="480"/>
      <c r="R38" s="480"/>
      <c r="S38" s="105"/>
      <c r="U38" s="422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4"/>
    </row>
    <row r="39" spans="2:34" ht="23" customHeight="1" x14ac:dyDescent="0.15">
      <c r="B39" s="116"/>
      <c r="C39" s="477"/>
      <c r="D39" s="478"/>
      <c r="E39" s="479"/>
      <c r="F39" s="479"/>
      <c r="G39" s="480"/>
      <c r="H39" s="480"/>
      <c r="I39" s="480"/>
      <c r="J39" s="480"/>
      <c r="K39" s="480"/>
      <c r="L39" s="480"/>
      <c r="M39" s="480"/>
      <c r="N39" s="480"/>
      <c r="O39" s="480"/>
      <c r="P39" s="480"/>
      <c r="Q39" s="480"/>
      <c r="R39" s="480"/>
      <c r="S39" s="105"/>
      <c r="U39" s="422"/>
      <c r="V39" s="423"/>
      <c r="W39" s="423"/>
      <c r="X39" s="423"/>
      <c r="Y39" s="423"/>
      <c r="Z39" s="423"/>
      <c r="AA39" s="423"/>
      <c r="AB39" s="423"/>
      <c r="AC39" s="423"/>
      <c r="AD39" s="423"/>
      <c r="AE39" s="423"/>
      <c r="AF39" s="423"/>
      <c r="AG39" s="423"/>
      <c r="AH39" s="424"/>
    </row>
    <row r="40" spans="2:34" ht="23" customHeight="1" x14ac:dyDescent="0.15">
      <c r="B40" s="116"/>
      <c r="C40" s="477"/>
      <c r="D40" s="478"/>
      <c r="E40" s="479"/>
      <c r="F40" s="479"/>
      <c r="G40" s="480"/>
      <c r="H40" s="480"/>
      <c r="I40" s="480"/>
      <c r="J40" s="480"/>
      <c r="K40" s="480"/>
      <c r="L40" s="480"/>
      <c r="M40" s="480"/>
      <c r="N40" s="480"/>
      <c r="O40" s="480"/>
      <c r="P40" s="480"/>
      <c r="Q40" s="480"/>
      <c r="R40" s="480"/>
      <c r="S40" s="105"/>
      <c r="U40" s="422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4"/>
    </row>
    <row r="41" spans="2:34" ht="23" customHeight="1" x14ac:dyDescent="0.15">
      <c r="B41" s="116"/>
      <c r="C41" s="477"/>
      <c r="D41" s="478"/>
      <c r="E41" s="479"/>
      <c r="F41" s="479"/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  <c r="R41" s="480"/>
      <c r="S41" s="105"/>
      <c r="U41" s="422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3"/>
      <c r="AG41" s="423"/>
      <c r="AH41" s="424"/>
    </row>
    <row r="42" spans="2:34" ht="23" customHeight="1" x14ac:dyDescent="0.15">
      <c r="B42" s="116"/>
      <c r="C42" s="477"/>
      <c r="D42" s="478"/>
      <c r="E42" s="479"/>
      <c r="F42" s="479"/>
      <c r="G42" s="480"/>
      <c r="H42" s="480"/>
      <c r="I42" s="480"/>
      <c r="J42" s="480"/>
      <c r="K42" s="480"/>
      <c r="L42" s="480"/>
      <c r="M42" s="480"/>
      <c r="N42" s="480"/>
      <c r="O42" s="480"/>
      <c r="P42" s="480"/>
      <c r="Q42" s="480"/>
      <c r="R42" s="480"/>
      <c r="S42" s="105"/>
      <c r="U42" s="422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4"/>
    </row>
    <row r="43" spans="2:34" ht="23" customHeight="1" x14ac:dyDescent="0.15">
      <c r="B43" s="116"/>
      <c r="C43" s="477"/>
      <c r="D43" s="478"/>
      <c r="E43" s="479"/>
      <c r="F43" s="479"/>
      <c r="G43" s="480"/>
      <c r="H43" s="480"/>
      <c r="I43" s="480"/>
      <c r="J43" s="480"/>
      <c r="K43" s="480"/>
      <c r="L43" s="480"/>
      <c r="M43" s="480"/>
      <c r="N43" s="480"/>
      <c r="O43" s="480"/>
      <c r="P43" s="480"/>
      <c r="Q43" s="480"/>
      <c r="R43" s="480"/>
      <c r="S43" s="105"/>
      <c r="U43" s="422"/>
      <c r="V43" s="423"/>
      <c r="W43" s="423"/>
      <c r="X43" s="423"/>
      <c r="Y43" s="423"/>
      <c r="Z43" s="423"/>
      <c r="AA43" s="423"/>
      <c r="AB43" s="423"/>
      <c r="AC43" s="423"/>
      <c r="AD43" s="423"/>
      <c r="AE43" s="423"/>
      <c r="AF43" s="423"/>
      <c r="AG43" s="423"/>
      <c r="AH43" s="424"/>
    </row>
    <row r="44" spans="2:34" ht="23" customHeight="1" x14ac:dyDescent="0.15">
      <c r="B44" s="116"/>
      <c r="C44" s="477"/>
      <c r="D44" s="478"/>
      <c r="E44" s="479"/>
      <c r="F44" s="479"/>
      <c r="G44" s="480"/>
      <c r="H44" s="480"/>
      <c r="I44" s="480"/>
      <c r="J44" s="480"/>
      <c r="K44" s="480"/>
      <c r="L44" s="480"/>
      <c r="M44" s="480"/>
      <c r="N44" s="480"/>
      <c r="O44" s="480"/>
      <c r="P44" s="480"/>
      <c r="Q44" s="480"/>
      <c r="R44" s="480"/>
      <c r="S44" s="105"/>
      <c r="U44" s="422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4"/>
    </row>
    <row r="45" spans="2:34" ht="23" customHeight="1" x14ac:dyDescent="0.15">
      <c r="B45" s="116"/>
      <c r="C45" s="477"/>
      <c r="D45" s="478"/>
      <c r="E45" s="479"/>
      <c r="F45" s="479"/>
      <c r="G45" s="480"/>
      <c r="H45" s="480"/>
      <c r="I45" s="480"/>
      <c r="J45" s="480"/>
      <c r="K45" s="480"/>
      <c r="L45" s="480"/>
      <c r="M45" s="480"/>
      <c r="N45" s="480"/>
      <c r="O45" s="480"/>
      <c r="P45" s="480"/>
      <c r="Q45" s="480"/>
      <c r="R45" s="480"/>
      <c r="S45" s="105"/>
      <c r="U45" s="422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4"/>
    </row>
    <row r="46" spans="2:34" s="128" customFormat="1" ht="23" customHeight="1" thickBot="1" x14ac:dyDescent="0.2">
      <c r="B46" s="116"/>
      <c r="C46" s="1429" t="s">
        <v>384</v>
      </c>
      <c r="D46" s="1430"/>
      <c r="E46" s="125">
        <f>MIN(E16:E45)</f>
        <v>0</v>
      </c>
      <c r="F46" s="125">
        <f>MAX(F16:F45)</f>
        <v>2020</v>
      </c>
      <c r="G46" s="126">
        <f t="shared" ref="G46:R46" si="0">SUM(G16:G45)</f>
        <v>30000</v>
      </c>
      <c r="H46" s="126">
        <f t="shared" si="0"/>
        <v>0</v>
      </c>
      <c r="I46" s="126">
        <f t="shared" si="0"/>
        <v>30000</v>
      </c>
      <c r="J46" s="126">
        <f t="shared" si="0"/>
        <v>0</v>
      </c>
      <c r="K46" s="126">
        <f t="shared" si="0"/>
        <v>0</v>
      </c>
      <c r="L46" s="126">
        <f t="shared" si="0"/>
        <v>0</v>
      </c>
      <c r="M46" s="126">
        <f t="shared" si="0"/>
        <v>0</v>
      </c>
      <c r="N46" s="126">
        <f t="shared" si="0"/>
        <v>0</v>
      </c>
      <c r="O46" s="126">
        <f t="shared" si="0"/>
        <v>0</v>
      </c>
      <c r="P46" s="126">
        <f t="shared" si="0"/>
        <v>0</v>
      </c>
      <c r="Q46" s="126">
        <f t="shared" si="0"/>
        <v>0</v>
      </c>
      <c r="R46" s="126">
        <f t="shared" si="0"/>
        <v>0</v>
      </c>
      <c r="S46" s="127"/>
      <c r="U46" s="422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4"/>
    </row>
    <row r="47" spans="2:34" s="128" customFormat="1" ht="23" customHeight="1" x14ac:dyDescent="0.15">
      <c r="B47" s="116"/>
      <c r="C47" s="780"/>
      <c r="D47" s="780"/>
      <c r="E47" s="781"/>
      <c r="F47" s="781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127"/>
      <c r="U47" s="422"/>
      <c r="V47" s="423"/>
      <c r="W47" s="423"/>
      <c r="X47" s="423"/>
      <c r="Y47" s="423"/>
      <c r="Z47" s="423"/>
      <c r="AA47" s="423"/>
      <c r="AB47" s="423"/>
      <c r="AC47" s="423"/>
      <c r="AD47" s="423"/>
      <c r="AE47" s="423"/>
      <c r="AF47" s="423"/>
      <c r="AG47" s="423"/>
      <c r="AH47" s="424"/>
    </row>
    <row r="48" spans="2:34" s="128" customFormat="1" ht="23" customHeight="1" x14ac:dyDescent="0.15">
      <c r="B48" s="116"/>
      <c r="C48" s="782" t="s">
        <v>729</v>
      </c>
      <c r="D48" s="780"/>
      <c r="E48" s="781"/>
      <c r="F48" s="781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127"/>
      <c r="U48" s="422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4"/>
    </row>
    <row r="49" spans="2:34" s="128" customFormat="1" ht="23" customHeight="1" x14ac:dyDescent="0.15">
      <c r="B49" s="116"/>
      <c r="C49" s="783" t="s">
        <v>730</v>
      </c>
      <c r="D49" s="780"/>
      <c r="E49" s="781"/>
      <c r="F49" s="784">
        <f>ejercicio-1</f>
        <v>2019</v>
      </c>
      <c r="G49" s="785" t="s">
        <v>731</v>
      </c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127"/>
      <c r="U49" s="422"/>
      <c r="V49" s="423"/>
      <c r="W49" s="423"/>
      <c r="X49" s="423"/>
      <c r="Y49" s="423"/>
      <c r="Z49" s="423"/>
      <c r="AA49" s="423"/>
      <c r="AB49" s="423"/>
      <c r="AC49" s="423"/>
      <c r="AD49" s="423"/>
      <c r="AE49" s="423"/>
      <c r="AF49" s="423"/>
      <c r="AG49" s="423"/>
      <c r="AH49" s="424"/>
    </row>
    <row r="50" spans="2:34" s="128" customFormat="1" ht="23" customHeight="1" x14ac:dyDescent="0.15">
      <c r="B50" s="116"/>
      <c r="C50" s="786" t="s">
        <v>732</v>
      </c>
      <c r="D50" s="780"/>
      <c r="E50" s="781"/>
      <c r="F50" s="781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127"/>
      <c r="U50" s="422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4"/>
    </row>
    <row r="51" spans="2:34" s="128" customFormat="1" ht="23" customHeight="1" x14ac:dyDescent="0.15">
      <c r="B51" s="116"/>
      <c r="C51" s="783" t="s">
        <v>735</v>
      </c>
      <c r="D51" s="780"/>
      <c r="E51" s="781"/>
      <c r="F51" s="781"/>
      <c r="G51" s="784">
        <f>ejercicio-1</f>
        <v>2019</v>
      </c>
      <c r="H51" s="785" t="s">
        <v>736</v>
      </c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127"/>
      <c r="U51" s="422"/>
      <c r="V51" s="423"/>
      <c r="W51" s="423"/>
      <c r="X51" s="423"/>
      <c r="Y51" s="423"/>
      <c r="Z51" s="423"/>
      <c r="AA51" s="423"/>
      <c r="AB51" s="423"/>
      <c r="AC51" s="423"/>
      <c r="AD51" s="423"/>
      <c r="AE51" s="423"/>
      <c r="AF51" s="423"/>
      <c r="AG51" s="423"/>
      <c r="AH51" s="424"/>
    </row>
    <row r="52" spans="2:34" s="128" customFormat="1" ht="23" customHeight="1" x14ac:dyDescent="0.15">
      <c r="B52" s="116"/>
      <c r="C52" s="783" t="s">
        <v>737</v>
      </c>
      <c r="D52" s="780"/>
      <c r="E52" s="781"/>
      <c r="F52" s="781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127"/>
      <c r="U52" s="422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4"/>
    </row>
    <row r="53" spans="2:34" s="128" customFormat="1" ht="23" customHeight="1" x14ac:dyDescent="0.15">
      <c r="B53" s="116"/>
      <c r="C53" s="783" t="s">
        <v>741</v>
      </c>
      <c r="D53" s="780"/>
      <c r="E53" s="781"/>
      <c r="F53" s="781"/>
      <c r="G53" s="784">
        <f>ejercicio-1</f>
        <v>2019</v>
      </c>
      <c r="H53" s="785" t="s">
        <v>740</v>
      </c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127"/>
      <c r="U53" s="422"/>
      <c r="V53" s="423"/>
      <c r="W53" s="423"/>
      <c r="X53" s="423"/>
      <c r="Y53" s="423"/>
      <c r="Z53" s="423"/>
      <c r="AA53" s="423"/>
      <c r="AB53" s="423"/>
      <c r="AC53" s="423"/>
      <c r="AD53" s="423"/>
      <c r="AE53" s="423"/>
      <c r="AF53" s="423"/>
      <c r="AG53" s="423"/>
      <c r="AH53" s="424"/>
    </row>
    <row r="54" spans="2:34" s="128" customFormat="1" ht="23" customHeight="1" x14ac:dyDescent="0.15">
      <c r="B54" s="116"/>
      <c r="C54" s="780"/>
      <c r="D54" s="780"/>
      <c r="E54" s="781"/>
      <c r="F54" s="781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127"/>
      <c r="U54" s="422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4"/>
    </row>
    <row r="55" spans="2:34" ht="23" customHeight="1" thickBot="1" x14ac:dyDescent="0.2">
      <c r="B55" s="120"/>
      <c r="C55" s="1375"/>
      <c r="D55" s="1375"/>
      <c r="E55" s="1375"/>
      <c r="F55" s="1375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121"/>
      <c r="S55" s="122"/>
      <c r="U55" s="425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7"/>
    </row>
    <row r="56" spans="2:34" ht="23" customHeight="1" x14ac:dyDescent="0.15">
      <c r="C56" s="103"/>
      <c r="D56" s="103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T56" s="96" t="s">
        <v>936</v>
      </c>
    </row>
    <row r="57" spans="2:34" ht="13" x14ac:dyDescent="0.15">
      <c r="C57" s="123" t="s">
        <v>70</v>
      </c>
      <c r="D57" s="103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94" t="s">
        <v>45</v>
      </c>
    </row>
    <row r="58" spans="2:34" ht="13" x14ac:dyDescent="0.15">
      <c r="C58" s="124" t="s">
        <v>71</v>
      </c>
      <c r="D58" s="103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</row>
    <row r="59" spans="2:34" ht="13" x14ac:dyDescent="0.15">
      <c r="C59" s="124" t="s">
        <v>72</v>
      </c>
      <c r="D59" s="103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</row>
    <row r="60" spans="2:34" ht="13" x14ac:dyDescent="0.15">
      <c r="C60" s="124" t="s">
        <v>73</v>
      </c>
      <c r="D60" s="103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</row>
    <row r="61" spans="2:34" ht="13" x14ac:dyDescent="0.15">
      <c r="C61" s="124" t="s">
        <v>74</v>
      </c>
      <c r="D61" s="103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</row>
    <row r="62" spans="2:34" ht="23" customHeight="1" x14ac:dyDescent="0.15">
      <c r="C62" s="103"/>
      <c r="D62" s="103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</row>
    <row r="63" spans="2:34" ht="23" customHeight="1" x14ac:dyDescent="0.15">
      <c r="C63" s="103"/>
      <c r="D63" s="103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</row>
    <row r="64" spans="2:34" ht="23" customHeight="1" x14ac:dyDescent="0.15">
      <c r="C64" s="103"/>
      <c r="D64" s="103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</row>
    <row r="65" spans="3:18" ht="23" customHeight="1" x14ac:dyDescent="0.15">
      <c r="C65" s="103"/>
      <c r="D65" s="103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</row>
    <row r="66" spans="3:18" ht="23" customHeight="1" x14ac:dyDescent="0.15"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</row>
  </sheetData>
  <sheetProtection sheet="1" insertRows="0"/>
  <mergeCells count="5">
    <mergeCell ref="R6:R7"/>
    <mergeCell ref="D9:R9"/>
    <mergeCell ref="C55:F55"/>
    <mergeCell ref="I13:M13"/>
    <mergeCell ref="C46:D46"/>
  </mergeCells>
  <phoneticPr fontId="22" type="noConversion"/>
  <printOptions horizontalCentered="1" verticalCentered="1"/>
  <pageMargins left="0.36000000000000004" right="0.36000000000000004" top="0.6100000000000001" bottom="0.6100000000000001" header="0.5" footer="0.5"/>
  <pageSetup paperSize="9" scale="3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E58"/>
  <sheetViews>
    <sheetView topLeftCell="C10" zoomScale="94" zoomScaleNormal="125" zoomScalePageLayoutView="125" workbookViewId="0">
      <selection activeCell="F29" sqref="F29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5703125" style="96" customWidth="1"/>
    <col min="4" max="4" width="23.28515625" style="96" customWidth="1"/>
    <col min="5" max="14" width="13.42578125" style="97" customWidth="1"/>
    <col min="15" max="15" width="40.7109375" style="97" customWidth="1"/>
    <col min="16" max="16" width="3.28515625" style="96" customWidth="1"/>
    <col min="17" max="16384" width="10.7109375" style="96"/>
  </cols>
  <sheetData>
    <row r="2" spans="1:31" ht="23" customHeight="1" x14ac:dyDescent="0.15">
      <c r="D2" s="311" t="str">
        <f>_GENERAL!D2</f>
        <v>Área de Presidencia, Hacienda y Modernización</v>
      </c>
    </row>
    <row r="3" spans="1:31" ht="23" customHeight="1" x14ac:dyDescent="0.15">
      <c r="D3" s="311" t="str">
        <f>_GENERAL!D3</f>
        <v>Dirección Insular de Hacienda</v>
      </c>
    </row>
    <row r="4" spans="1:31" ht="23" customHeight="1" thickBot="1" x14ac:dyDescent="0.2">
      <c r="A4" s="96" t="s">
        <v>935</v>
      </c>
    </row>
    <row r="5" spans="1:31" ht="9" customHeight="1" x14ac:dyDescent="0.15">
      <c r="B5" s="98"/>
      <c r="C5" s="99"/>
      <c r="D5" s="99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  <c r="R5" s="406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8"/>
    </row>
    <row r="6" spans="1:31" ht="30" customHeight="1" x14ac:dyDescent="0.2">
      <c r="B6" s="102"/>
      <c r="C6" s="66" t="s">
        <v>0</v>
      </c>
      <c r="D6" s="103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362">
        <f>ejercicio</f>
        <v>2020</v>
      </c>
      <c r="P6" s="105"/>
      <c r="R6" s="409"/>
      <c r="S6" s="410" t="s">
        <v>677</v>
      </c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2"/>
    </row>
    <row r="7" spans="1:31" ht="30" customHeight="1" x14ac:dyDescent="0.2">
      <c r="B7" s="102"/>
      <c r="C7" s="66" t="s">
        <v>1</v>
      </c>
      <c r="D7" s="103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362"/>
      <c r="P7" s="105"/>
      <c r="R7" s="409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412"/>
    </row>
    <row r="8" spans="1:31" ht="30" customHeight="1" x14ac:dyDescent="0.15">
      <c r="B8" s="102"/>
      <c r="C8" s="106"/>
      <c r="D8" s="103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7"/>
      <c r="P8" s="105"/>
      <c r="R8" s="409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412"/>
    </row>
    <row r="9" spans="1:31" s="64" customFormat="1" ht="30" customHeight="1" x14ac:dyDescent="0.2">
      <c r="B9" s="108"/>
      <c r="C9" s="55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376"/>
      <c r="I9" s="1376"/>
      <c r="J9" s="1376"/>
      <c r="K9" s="1376"/>
      <c r="L9" s="1376"/>
      <c r="M9" s="1376"/>
      <c r="N9" s="1376"/>
      <c r="O9" s="1376"/>
      <c r="P9" s="109"/>
      <c r="R9" s="413"/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4"/>
      <c r="AD9" s="414"/>
      <c r="AE9" s="415"/>
    </row>
    <row r="10" spans="1:31" ht="7.25" customHeight="1" x14ac:dyDescent="0.15">
      <c r="B10" s="102"/>
      <c r="C10" s="103"/>
      <c r="D10" s="103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5"/>
      <c r="R10" s="409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2"/>
    </row>
    <row r="11" spans="1:31" s="114" customFormat="1" ht="30" customHeight="1" x14ac:dyDescent="0.2">
      <c r="B11" s="110"/>
      <c r="C11" s="111" t="s">
        <v>408</v>
      </c>
      <c r="D11" s="111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  <c r="R11" s="416"/>
      <c r="S11" s="417"/>
      <c r="T11" s="417"/>
      <c r="U11" s="417"/>
      <c r="V11" s="417"/>
      <c r="W11" s="417"/>
      <c r="X11" s="417"/>
      <c r="Y11" s="417"/>
      <c r="Z11" s="417"/>
      <c r="AA11" s="417"/>
      <c r="AB11" s="417"/>
      <c r="AC11" s="417"/>
      <c r="AD11" s="417"/>
      <c r="AE11" s="418"/>
    </row>
    <row r="12" spans="1:31" s="114" customFormat="1" ht="30" customHeight="1" x14ac:dyDescent="0.2">
      <c r="B12" s="110"/>
      <c r="C12" s="115"/>
      <c r="D12" s="11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13"/>
      <c r="R12" s="416"/>
      <c r="S12" s="417"/>
      <c r="T12" s="417"/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8"/>
    </row>
    <row r="13" spans="1:31" s="118" customFormat="1" ht="23" customHeight="1" x14ac:dyDescent="0.15">
      <c r="B13" s="116"/>
      <c r="C13" s="1431"/>
      <c r="D13" s="1432"/>
      <c r="E13" s="197" t="s">
        <v>406</v>
      </c>
      <c r="F13" s="1435" t="s">
        <v>396</v>
      </c>
      <c r="G13" s="1436"/>
      <c r="H13" s="1436"/>
      <c r="I13" s="1436"/>
      <c r="J13" s="1436"/>
      <c r="K13" s="1436"/>
      <c r="L13" s="1437"/>
      <c r="M13" s="197" t="s">
        <v>407</v>
      </c>
      <c r="N13" s="197"/>
      <c r="O13" s="1433" t="s">
        <v>1022</v>
      </c>
      <c r="P13" s="117"/>
      <c r="R13" s="409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12"/>
    </row>
    <row r="14" spans="1:31" ht="49.25" customHeight="1" x14ac:dyDescent="0.2">
      <c r="B14" s="102"/>
      <c r="C14" s="206" t="s">
        <v>403</v>
      </c>
      <c r="D14" s="204">
        <f>ejercicio-1</f>
        <v>2019</v>
      </c>
      <c r="E14" s="205">
        <f>ejercicio-1</f>
        <v>2019</v>
      </c>
      <c r="F14" s="201" t="s">
        <v>398</v>
      </c>
      <c r="G14" s="202" t="s">
        <v>397</v>
      </c>
      <c r="H14" s="202" t="s">
        <v>399</v>
      </c>
      <c r="I14" s="202" t="s">
        <v>400</v>
      </c>
      <c r="J14" s="202" t="s">
        <v>401</v>
      </c>
      <c r="K14" s="202" t="s">
        <v>402</v>
      </c>
      <c r="L14" s="203" t="s">
        <v>387</v>
      </c>
      <c r="M14" s="205">
        <f>ejercicio-1</f>
        <v>2019</v>
      </c>
      <c r="N14" s="1297" t="s">
        <v>1021</v>
      </c>
      <c r="O14" s="1434"/>
      <c r="P14" s="105"/>
      <c r="R14" s="409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412"/>
    </row>
    <row r="15" spans="1:31" s="119" customFormat="1" ht="23" customHeight="1" x14ac:dyDescent="0.15">
      <c r="B15" s="116"/>
      <c r="C15" s="156" t="s">
        <v>389</v>
      </c>
      <c r="D15" s="157"/>
      <c r="E15" s="481">
        <v>2567633.0299999998</v>
      </c>
      <c r="F15" s="482"/>
      <c r="G15" s="483"/>
      <c r="H15" s="483"/>
      <c r="I15" s="483">
        <v>-2315.61</v>
      </c>
      <c r="J15" s="483"/>
      <c r="K15" s="483"/>
      <c r="L15" s="484"/>
      <c r="M15" s="172">
        <f>SUM(E15:L15)</f>
        <v>2565317.42</v>
      </c>
      <c r="N15" s="1298"/>
      <c r="O15" s="512"/>
      <c r="P15" s="117"/>
      <c r="R15" s="409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2"/>
    </row>
    <row r="16" spans="1:31" ht="23" customHeight="1" x14ac:dyDescent="0.15">
      <c r="B16" s="116"/>
      <c r="C16" s="158" t="s">
        <v>392</v>
      </c>
      <c r="D16" s="159"/>
      <c r="E16" s="485"/>
      <c r="F16" s="486"/>
      <c r="G16" s="487"/>
      <c r="H16" s="487"/>
      <c r="I16" s="487"/>
      <c r="J16" s="487"/>
      <c r="K16" s="487"/>
      <c r="L16" s="488"/>
      <c r="M16" s="176">
        <f t="shared" ref="M16:M19" si="0">SUM(E16:L16)</f>
        <v>0</v>
      </c>
      <c r="N16" s="1299"/>
      <c r="O16" s="791"/>
      <c r="P16" s="105"/>
      <c r="R16" s="409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2"/>
    </row>
    <row r="17" spans="2:31" ht="23" customHeight="1" x14ac:dyDescent="0.15">
      <c r="B17" s="116"/>
      <c r="C17" s="158" t="s">
        <v>390</v>
      </c>
      <c r="D17" s="159"/>
      <c r="E17" s="485">
        <v>7100858.9100000001</v>
      </c>
      <c r="F17" s="486">
        <f>170250+311242.95</f>
        <v>481492.95</v>
      </c>
      <c r="G17" s="487"/>
      <c r="H17" s="487"/>
      <c r="I17" s="487">
        <f>-49183.2-I15</f>
        <v>-46867.59</v>
      </c>
      <c r="J17" s="487"/>
      <c r="K17" s="487"/>
      <c r="L17" s="488"/>
      <c r="M17" s="176">
        <f t="shared" si="0"/>
        <v>7535484.2700000005</v>
      </c>
      <c r="N17" s="1299"/>
      <c r="O17" s="791"/>
      <c r="P17" s="105"/>
      <c r="R17" s="409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412"/>
    </row>
    <row r="18" spans="2:31" ht="23" customHeight="1" x14ac:dyDescent="0.15">
      <c r="B18" s="116"/>
      <c r="C18" s="158" t="s">
        <v>393</v>
      </c>
      <c r="D18" s="159"/>
      <c r="E18" s="485"/>
      <c r="F18" s="486"/>
      <c r="G18" s="487"/>
      <c r="H18" s="487"/>
      <c r="I18" s="487"/>
      <c r="J18" s="487"/>
      <c r="K18" s="487"/>
      <c r="L18" s="488"/>
      <c r="M18" s="176">
        <f t="shared" si="0"/>
        <v>0</v>
      </c>
      <c r="N18" s="1299"/>
      <c r="O18" s="791"/>
      <c r="P18" s="105"/>
      <c r="R18" s="409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412"/>
    </row>
    <row r="19" spans="2:31" ht="23" customHeight="1" x14ac:dyDescent="0.15">
      <c r="B19" s="116"/>
      <c r="C19" s="160" t="s">
        <v>391</v>
      </c>
      <c r="D19" s="161"/>
      <c r="E19" s="489"/>
      <c r="F19" s="490"/>
      <c r="G19" s="491"/>
      <c r="H19" s="491"/>
      <c r="I19" s="491"/>
      <c r="J19" s="491"/>
      <c r="K19" s="491"/>
      <c r="L19" s="492"/>
      <c r="M19" s="177">
        <f t="shared" si="0"/>
        <v>0</v>
      </c>
      <c r="N19" s="1300"/>
      <c r="O19" s="792"/>
      <c r="P19" s="105"/>
      <c r="R19" s="409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2"/>
    </row>
    <row r="20" spans="2:31" ht="23" customHeight="1" thickBot="1" x14ac:dyDescent="0.2">
      <c r="B20" s="116"/>
      <c r="C20" s="162" t="s">
        <v>394</v>
      </c>
      <c r="D20" s="163"/>
      <c r="E20" s="175">
        <f>SUM(E15:E19)</f>
        <v>9668491.9399999995</v>
      </c>
      <c r="F20" s="175">
        <f t="shared" ref="F20:N20" si="1">SUM(F15:F19)</f>
        <v>481492.95</v>
      </c>
      <c r="G20" s="175">
        <f t="shared" si="1"/>
        <v>0</v>
      </c>
      <c r="H20" s="175">
        <f t="shared" si="1"/>
        <v>0</v>
      </c>
      <c r="I20" s="175">
        <f t="shared" si="1"/>
        <v>-49183.199999999997</v>
      </c>
      <c r="J20" s="175">
        <f t="shared" si="1"/>
        <v>0</v>
      </c>
      <c r="K20" s="175">
        <f t="shared" si="1"/>
        <v>0</v>
      </c>
      <c r="L20" s="175">
        <f t="shared" si="1"/>
        <v>0</v>
      </c>
      <c r="M20" s="175">
        <f t="shared" si="1"/>
        <v>10100801.690000001</v>
      </c>
      <c r="N20" s="175">
        <f t="shared" si="1"/>
        <v>0</v>
      </c>
      <c r="O20" s="164"/>
      <c r="P20" s="105"/>
      <c r="R20" s="409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2"/>
    </row>
    <row r="21" spans="2:31" ht="8" customHeight="1" x14ac:dyDescent="0.15">
      <c r="B21" s="116"/>
      <c r="C21" s="152"/>
      <c r="D21" s="152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05"/>
      <c r="R21" s="409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2"/>
    </row>
    <row r="22" spans="2:31" ht="23" customHeight="1" thickBot="1" x14ac:dyDescent="0.2">
      <c r="B22" s="116"/>
      <c r="C22" s="166" t="s">
        <v>395</v>
      </c>
      <c r="D22" s="167"/>
      <c r="E22" s="556">
        <v>141.85</v>
      </c>
      <c r="F22" s="557"/>
      <c r="G22" s="558"/>
      <c r="H22" s="558"/>
      <c r="I22" s="558"/>
      <c r="J22" s="558"/>
      <c r="K22" s="558"/>
      <c r="L22" s="559"/>
      <c r="M22" s="175">
        <f>SUM(E22:L22)</f>
        <v>141.85</v>
      </c>
      <c r="N22" s="1296"/>
      <c r="O22" s="824"/>
      <c r="P22" s="105"/>
      <c r="R22" s="409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2"/>
    </row>
    <row r="23" spans="2:31" ht="23" customHeight="1" x14ac:dyDescent="0.15">
      <c r="B23" s="116"/>
      <c r="C23" s="115"/>
      <c r="D23" s="11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5"/>
      <c r="R23" s="409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2"/>
    </row>
    <row r="24" spans="2:31" ht="23" customHeight="1" x14ac:dyDescent="0.15">
      <c r="B24" s="116"/>
      <c r="C24" s="1431"/>
      <c r="D24" s="1432"/>
      <c r="E24" s="197" t="s">
        <v>406</v>
      </c>
      <c r="F24" s="1435" t="s">
        <v>396</v>
      </c>
      <c r="G24" s="1436"/>
      <c r="H24" s="1436"/>
      <c r="I24" s="1436"/>
      <c r="J24" s="1436"/>
      <c r="K24" s="1436"/>
      <c r="L24" s="1437"/>
      <c r="M24" s="197" t="s">
        <v>407</v>
      </c>
      <c r="N24" s="197"/>
      <c r="O24" s="1433" t="s">
        <v>1022</v>
      </c>
      <c r="P24" s="105"/>
      <c r="R24" s="409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2"/>
    </row>
    <row r="25" spans="2:31" ht="49.25" customHeight="1" x14ac:dyDescent="0.2">
      <c r="B25" s="116"/>
      <c r="C25" s="206" t="s">
        <v>404</v>
      </c>
      <c r="D25" s="204">
        <f>ejercicio</f>
        <v>2020</v>
      </c>
      <c r="E25" s="205">
        <f>ejercicio</f>
        <v>2020</v>
      </c>
      <c r="F25" s="201" t="s">
        <v>398</v>
      </c>
      <c r="G25" s="202" t="s">
        <v>397</v>
      </c>
      <c r="H25" s="202" t="s">
        <v>399</v>
      </c>
      <c r="I25" s="202" t="s">
        <v>400</v>
      </c>
      <c r="J25" s="202" t="s">
        <v>401</v>
      </c>
      <c r="K25" s="202" t="s">
        <v>402</v>
      </c>
      <c r="L25" s="203" t="s">
        <v>387</v>
      </c>
      <c r="M25" s="205">
        <f>ejercicio</f>
        <v>2020</v>
      </c>
      <c r="N25" s="1297" t="s">
        <v>1021</v>
      </c>
      <c r="O25" s="1434"/>
      <c r="P25" s="105"/>
      <c r="R25" s="409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2"/>
    </row>
    <row r="26" spans="2:31" ht="23" customHeight="1" x14ac:dyDescent="0.15">
      <c r="B26" s="116"/>
      <c r="C26" s="156" t="s">
        <v>389</v>
      </c>
      <c r="D26" s="157"/>
      <c r="E26" s="172">
        <f>+M15</f>
        <v>2565317.42</v>
      </c>
      <c r="F26" s="482"/>
      <c r="G26" s="483"/>
      <c r="H26" s="483"/>
      <c r="I26" s="483">
        <v>-2315.61</v>
      </c>
      <c r="J26" s="483"/>
      <c r="K26" s="483"/>
      <c r="L26" s="484"/>
      <c r="M26" s="172">
        <f>SUM(E26:L26)</f>
        <v>2563001.81</v>
      </c>
      <c r="N26" s="1298"/>
      <c r="O26" s="512"/>
      <c r="P26" s="105"/>
      <c r="R26" s="409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2"/>
    </row>
    <row r="27" spans="2:31" ht="23" customHeight="1" x14ac:dyDescent="0.15">
      <c r="B27" s="116"/>
      <c r="C27" s="158" t="s">
        <v>392</v>
      </c>
      <c r="D27" s="159"/>
      <c r="E27" s="176">
        <f>+M16</f>
        <v>0</v>
      </c>
      <c r="F27" s="486"/>
      <c r="G27" s="487"/>
      <c r="H27" s="487"/>
      <c r="I27" s="487"/>
      <c r="J27" s="487"/>
      <c r="K27" s="487"/>
      <c r="L27" s="488"/>
      <c r="M27" s="176">
        <f t="shared" ref="M27:M30" si="2">SUM(E27:L27)</f>
        <v>0</v>
      </c>
      <c r="N27" s="1299"/>
      <c r="O27" s="791"/>
      <c r="P27" s="105"/>
      <c r="R27" s="409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2"/>
    </row>
    <row r="28" spans="2:31" ht="23" customHeight="1" x14ac:dyDescent="0.15">
      <c r="B28" s="116"/>
      <c r="C28" s="158" t="s">
        <v>390</v>
      </c>
      <c r="D28" s="159"/>
      <c r="E28" s="176">
        <f>+M17</f>
        <v>7535484.2700000005</v>
      </c>
      <c r="F28" s="486">
        <v>30000</v>
      </c>
      <c r="G28" s="487"/>
      <c r="H28" s="487"/>
      <c r="I28" s="487">
        <f>-45106.33-I26</f>
        <v>-42790.720000000001</v>
      </c>
      <c r="J28" s="487"/>
      <c r="K28" s="487"/>
      <c r="L28" s="488"/>
      <c r="M28" s="176">
        <f t="shared" si="2"/>
        <v>7522693.5500000007</v>
      </c>
      <c r="N28" s="1299"/>
      <c r="O28" s="1226"/>
      <c r="P28" s="105"/>
      <c r="R28" s="409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2"/>
    </row>
    <row r="29" spans="2:31" ht="23" customHeight="1" x14ac:dyDescent="0.15">
      <c r="B29" s="116"/>
      <c r="C29" s="158" t="s">
        <v>393</v>
      </c>
      <c r="D29" s="159"/>
      <c r="E29" s="176">
        <f>+M18</f>
        <v>0</v>
      </c>
      <c r="F29" s="486"/>
      <c r="G29" s="487"/>
      <c r="H29" s="487"/>
      <c r="I29" s="487"/>
      <c r="J29" s="487"/>
      <c r="K29" s="487"/>
      <c r="L29" s="488"/>
      <c r="M29" s="176">
        <f t="shared" si="2"/>
        <v>0</v>
      </c>
      <c r="N29" s="1299"/>
      <c r="O29" s="791"/>
      <c r="P29" s="105"/>
      <c r="R29" s="409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2"/>
    </row>
    <row r="30" spans="2:31" ht="23" customHeight="1" x14ac:dyDescent="0.15">
      <c r="B30" s="116"/>
      <c r="C30" s="160" t="s">
        <v>391</v>
      </c>
      <c r="D30" s="161"/>
      <c r="E30" s="177">
        <f>+M19</f>
        <v>0</v>
      </c>
      <c r="F30" s="490"/>
      <c r="G30" s="491"/>
      <c r="H30" s="491"/>
      <c r="I30" s="491"/>
      <c r="J30" s="491"/>
      <c r="K30" s="491"/>
      <c r="L30" s="492"/>
      <c r="M30" s="177">
        <f t="shared" si="2"/>
        <v>0</v>
      </c>
      <c r="N30" s="1300"/>
      <c r="O30" s="792"/>
      <c r="P30" s="105"/>
      <c r="R30" s="419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1"/>
    </row>
    <row r="31" spans="2:31" ht="23" customHeight="1" thickBot="1" x14ac:dyDescent="0.2">
      <c r="B31" s="116"/>
      <c r="C31" s="162" t="s">
        <v>394</v>
      </c>
      <c r="D31" s="163"/>
      <c r="E31" s="175">
        <f>SUM(E26:E30)</f>
        <v>10100801.690000001</v>
      </c>
      <c r="F31" s="175">
        <f t="shared" ref="F31" si="3">SUM(F26:F30)</f>
        <v>30000</v>
      </c>
      <c r="G31" s="175">
        <f t="shared" ref="G31" si="4">SUM(G26:G30)</f>
        <v>0</v>
      </c>
      <c r="H31" s="175">
        <f t="shared" ref="H31" si="5">SUM(H26:H30)</f>
        <v>0</v>
      </c>
      <c r="I31" s="175">
        <f t="shared" ref="I31" si="6">SUM(I26:I30)</f>
        <v>-45106.33</v>
      </c>
      <c r="J31" s="175">
        <f t="shared" ref="J31" si="7">SUM(J26:J30)</f>
        <v>0</v>
      </c>
      <c r="K31" s="175">
        <f t="shared" ref="K31" si="8">SUM(K26:K30)</f>
        <v>0</v>
      </c>
      <c r="L31" s="175">
        <f t="shared" ref="L31:N31" si="9">SUM(L26:L30)</f>
        <v>0</v>
      </c>
      <c r="M31" s="175">
        <f>SUM(M26:M30)</f>
        <v>10085695.360000001</v>
      </c>
      <c r="N31" s="175">
        <f t="shared" si="9"/>
        <v>0</v>
      </c>
      <c r="O31" s="164"/>
      <c r="P31" s="105"/>
      <c r="R31" s="419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1"/>
    </row>
    <row r="32" spans="2:31" ht="9" customHeight="1" x14ac:dyDescent="0.15">
      <c r="B32" s="116"/>
      <c r="C32" s="152"/>
      <c r="D32" s="152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05"/>
      <c r="R32" s="409"/>
      <c r="S32" s="411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2"/>
    </row>
    <row r="33" spans="2:31" ht="23" customHeight="1" thickBot="1" x14ac:dyDescent="0.2">
      <c r="B33" s="116"/>
      <c r="C33" s="166" t="s">
        <v>395</v>
      </c>
      <c r="D33" s="167"/>
      <c r="E33" s="175">
        <f>+M22</f>
        <v>141.85</v>
      </c>
      <c r="F33" s="557"/>
      <c r="G33" s="558"/>
      <c r="H33" s="558"/>
      <c r="I33" s="558"/>
      <c r="J33" s="558"/>
      <c r="K33" s="558"/>
      <c r="L33" s="559"/>
      <c r="M33" s="175">
        <f>SUM(E33:L33)</f>
        <v>141.85</v>
      </c>
      <c r="N33" s="1296"/>
      <c r="O33" s="824"/>
      <c r="P33" s="105"/>
      <c r="R33" s="409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2"/>
    </row>
    <row r="34" spans="2:31" ht="23" customHeight="1" x14ac:dyDescent="0.15">
      <c r="B34" s="116"/>
      <c r="C34" s="115"/>
      <c r="D34" s="11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105"/>
      <c r="R34" s="409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2"/>
    </row>
    <row r="35" spans="2:31" ht="23" customHeight="1" x14ac:dyDescent="0.15">
      <c r="B35" s="116"/>
      <c r="C35" s="171" t="s">
        <v>405</v>
      </c>
      <c r="D35" s="169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95"/>
      <c r="P35" s="105"/>
      <c r="R35" s="409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2"/>
    </row>
    <row r="36" spans="2:31" ht="18" x14ac:dyDescent="0.15">
      <c r="B36" s="116"/>
      <c r="C36" s="169" t="s">
        <v>748</v>
      </c>
      <c r="D36" s="169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95"/>
      <c r="P36" s="105"/>
      <c r="R36" s="422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4"/>
    </row>
    <row r="37" spans="2:31" ht="18" x14ac:dyDescent="0.15">
      <c r="B37" s="116"/>
      <c r="C37" s="169" t="s">
        <v>749</v>
      </c>
      <c r="D37" s="169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95"/>
      <c r="P37" s="105"/>
      <c r="R37" s="422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  <c r="AD37" s="423"/>
      <c r="AE37" s="424"/>
    </row>
    <row r="38" spans="2:31" ht="18" x14ac:dyDescent="0.15">
      <c r="B38" s="116"/>
      <c r="C38" s="169" t="s">
        <v>750</v>
      </c>
      <c r="D38" s="169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95"/>
      <c r="P38" s="105"/>
      <c r="R38" s="422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4"/>
    </row>
    <row r="39" spans="2:31" ht="18" x14ac:dyDescent="0.15">
      <c r="B39" s="116"/>
      <c r="C39" s="169" t="s">
        <v>751</v>
      </c>
      <c r="D39" s="169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95"/>
      <c r="P39" s="105"/>
      <c r="R39" s="422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  <c r="AD39" s="423"/>
      <c r="AE39" s="424"/>
    </row>
    <row r="40" spans="2:31" ht="18" x14ac:dyDescent="0.15">
      <c r="B40" s="116"/>
      <c r="C40" s="169" t="s">
        <v>756</v>
      </c>
      <c r="D40" s="169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95"/>
      <c r="P40" s="105"/>
      <c r="R40" s="422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4"/>
    </row>
    <row r="41" spans="2:31" ht="18" x14ac:dyDescent="0.15">
      <c r="B41" s="116"/>
      <c r="C41" s="169" t="s">
        <v>752</v>
      </c>
      <c r="D41" s="169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95"/>
      <c r="P41" s="105"/>
      <c r="R41" s="422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4"/>
    </row>
    <row r="42" spans="2:31" ht="18" x14ac:dyDescent="0.15">
      <c r="B42" s="116"/>
      <c r="C42" s="169" t="s">
        <v>753</v>
      </c>
      <c r="D42" s="169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95"/>
      <c r="P42" s="105"/>
      <c r="R42" s="422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4"/>
    </row>
    <row r="43" spans="2:31" ht="18" x14ac:dyDescent="0.15">
      <c r="B43" s="116"/>
      <c r="C43" s="169" t="s">
        <v>754</v>
      </c>
      <c r="D43" s="169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95"/>
      <c r="P43" s="105"/>
      <c r="R43" s="422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3"/>
      <c r="AD43" s="423"/>
      <c r="AE43" s="424"/>
    </row>
    <row r="44" spans="2:31" ht="18" x14ac:dyDescent="0.15">
      <c r="B44" s="116"/>
      <c r="C44" s="169" t="s">
        <v>755</v>
      </c>
      <c r="D44" s="169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95"/>
      <c r="P44" s="105"/>
      <c r="R44" s="422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4"/>
    </row>
    <row r="45" spans="2:31" ht="18" x14ac:dyDescent="0.15">
      <c r="B45" s="116"/>
      <c r="C45" s="169" t="s">
        <v>1024</v>
      </c>
      <c r="D45" s="169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95"/>
      <c r="P45" s="105"/>
      <c r="R45" s="422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4"/>
    </row>
    <row r="46" spans="2:31" ht="18" x14ac:dyDescent="0.15">
      <c r="B46" s="116"/>
      <c r="C46" s="169" t="s">
        <v>1023</v>
      </c>
      <c r="D46" s="169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95"/>
      <c r="P46" s="105"/>
      <c r="R46" s="422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4"/>
    </row>
    <row r="47" spans="2:31" ht="23" customHeight="1" thickBot="1" x14ac:dyDescent="0.2">
      <c r="B47" s="120"/>
      <c r="C47" s="1375"/>
      <c r="D47" s="1375"/>
      <c r="E47" s="1375"/>
      <c r="F47" s="1375"/>
      <c r="G47" s="56"/>
      <c r="H47" s="56"/>
      <c r="I47" s="56"/>
      <c r="J47" s="56"/>
      <c r="K47" s="56"/>
      <c r="L47" s="56"/>
      <c r="M47" s="56"/>
      <c r="N47" s="1294"/>
      <c r="O47" s="121"/>
      <c r="P47" s="122"/>
      <c r="R47" s="425"/>
      <c r="S47" s="426"/>
      <c r="T47" s="426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7"/>
    </row>
    <row r="48" spans="2:31" ht="23" customHeight="1" x14ac:dyDescent="0.15">
      <c r="C48" s="103"/>
      <c r="D48" s="103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Q48" s="96" t="s">
        <v>936</v>
      </c>
    </row>
    <row r="49" spans="3:15" ht="13" x14ac:dyDescent="0.15">
      <c r="C49" s="123" t="s">
        <v>70</v>
      </c>
      <c r="D49" s="103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94" t="s">
        <v>49</v>
      </c>
    </row>
    <row r="50" spans="3:15" ht="13" x14ac:dyDescent="0.15">
      <c r="C50" s="124" t="s">
        <v>71</v>
      </c>
      <c r="D50" s="103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</row>
    <row r="51" spans="3:15" ht="13" x14ac:dyDescent="0.15">
      <c r="C51" s="124" t="s">
        <v>72</v>
      </c>
      <c r="D51" s="103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</row>
    <row r="52" spans="3:15" ht="13" x14ac:dyDescent="0.15">
      <c r="C52" s="124" t="s">
        <v>73</v>
      </c>
      <c r="D52" s="103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</row>
    <row r="53" spans="3:15" ht="13" x14ac:dyDescent="0.15">
      <c r="C53" s="124" t="s">
        <v>74</v>
      </c>
      <c r="D53" s="103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</row>
    <row r="54" spans="3:15" ht="23" customHeight="1" x14ac:dyDescent="0.15">
      <c r="C54" s="103"/>
      <c r="D54" s="103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</row>
    <row r="55" spans="3:15" ht="23" customHeight="1" x14ac:dyDescent="0.15">
      <c r="C55" s="103"/>
      <c r="D55" s="103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</row>
    <row r="56" spans="3:15" ht="23" customHeight="1" x14ac:dyDescent="0.15">
      <c r="C56" s="103"/>
      <c r="D56" s="103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</row>
    <row r="57" spans="3:15" ht="23" customHeight="1" x14ac:dyDescent="0.15">
      <c r="C57" s="103"/>
      <c r="D57" s="103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</row>
    <row r="58" spans="3:15" ht="23" customHeight="1" x14ac:dyDescent="0.15">
      <c r="F58" s="104"/>
      <c r="G58" s="104"/>
      <c r="H58" s="104"/>
      <c r="I58" s="104"/>
      <c r="J58" s="104"/>
      <c r="K58" s="104"/>
      <c r="L58" s="104"/>
      <c r="M58" s="104"/>
      <c r="N58" s="104"/>
      <c r="O58" s="104"/>
    </row>
  </sheetData>
  <sheetProtection sheet="1" objects="1" scenarios="1"/>
  <mergeCells count="9">
    <mergeCell ref="O6:O7"/>
    <mergeCell ref="D9:O9"/>
    <mergeCell ref="C47:F47"/>
    <mergeCell ref="C13:D13"/>
    <mergeCell ref="O13:O14"/>
    <mergeCell ref="F13:L13"/>
    <mergeCell ref="C24:D24"/>
    <mergeCell ref="F24:L24"/>
    <mergeCell ref="O24:O25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38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C82"/>
  <sheetViews>
    <sheetView topLeftCell="A37" zoomScale="81" zoomScaleNormal="125" zoomScalePageLayoutView="125" workbookViewId="0">
      <selection activeCell="E53" sqref="E53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5703125" style="96" customWidth="1"/>
    <col min="4" max="4" width="23.28515625" style="96" customWidth="1"/>
    <col min="5" max="12" width="13.42578125" style="97" customWidth="1"/>
    <col min="13" max="13" width="25.7109375" style="97" customWidth="1"/>
    <col min="14" max="14" width="3.28515625" style="96" customWidth="1"/>
    <col min="15" max="16384" width="10.7109375" style="96"/>
  </cols>
  <sheetData>
    <row r="2" spans="1:29" ht="23" customHeight="1" x14ac:dyDescent="0.15">
      <c r="D2" s="311" t="str">
        <f>_GENERAL!D2</f>
        <v>Área de Presidencia, Hacienda y Modernización</v>
      </c>
    </row>
    <row r="3" spans="1:29" ht="23" customHeight="1" x14ac:dyDescent="0.15">
      <c r="D3" s="311" t="str">
        <f>_GENERAL!D3</f>
        <v>Dirección Insular de Hacienda</v>
      </c>
    </row>
    <row r="4" spans="1:29" ht="23" customHeight="1" thickBot="1" x14ac:dyDescent="0.2">
      <c r="A4" s="96" t="s">
        <v>935</v>
      </c>
    </row>
    <row r="5" spans="1:29" ht="9" customHeight="1" x14ac:dyDescent="0.15">
      <c r="B5" s="98"/>
      <c r="C5" s="99"/>
      <c r="D5" s="99"/>
      <c r="E5" s="100"/>
      <c r="F5" s="100"/>
      <c r="G5" s="100"/>
      <c r="H5" s="100"/>
      <c r="I5" s="100"/>
      <c r="J5" s="100"/>
      <c r="K5" s="100"/>
      <c r="L5" s="100"/>
      <c r="M5" s="100"/>
      <c r="N5" s="101"/>
      <c r="P5" s="406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8"/>
    </row>
    <row r="6" spans="1:29" ht="30" customHeight="1" x14ac:dyDescent="0.2">
      <c r="B6" s="102"/>
      <c r="C6" s="66" t="s">
        <v>0</v>
      </c>
      <c r="D6" s="103"/>
      <c r="E6" s="104"/>
      <c r="F6" s="104"/>
      <c r="G6" s="104"/>
      <c r="H6" s="104"/>
      <c r="I6" s="104"/>
      <c r="J6" s="104"/>
      <c r="K6" s="104"/>
      <c r="L6" s="104"/>
      <c r="M6" s="1362">
        <f>ejercicio</f>
        <v>2020</v>
      </c>
      <c r="N6" s="105"/>
      <c r="P6" s="409"/>
      <c r="Q6" s="410" t="s">
        <v>677</v>
      </c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2"/>
    </row>
    <row r="7" spans="1:29" ht="30" customHeight="1" x14ac:dyDescent="0.2">
      <c r="B7" s="102"/>
      <c r="C7" s="66" t="s">
        <v>1</v>
      </c>
      <c r="D7" s="103"/>
      <c r="E7" s="104"/>
      <c r="F7" s="104"/>
      <c r="G7" s="104"/>
      <c r="H7" s="104"/>
      <c r="I7" s="104"/>
      <c r="J7" s="104"/>
      <c r="K7" s="104"/>
      <c r="L7" s="104"/>
      <c r="M7" s="1362"/>
      <c r="N7" s="105"/>
      <c r="P7" s="409"/>
      <c r="Q7" s="411"/>
      <c r="R7" s="411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2"/>
    </row>
    <row r="8" spans="1:29" ht="30" customHeight="1" x14ac:dyDescent="0.15">
      <c r="B8" s="102"/>
      <c r="C8" s="106"/>
      <c r="D8" s="103"/>
      <c r="E8" s="104"/>
      <c r="F8" s="104"/>
      <c r="G8" s="104"/>
      <c r="H8" s="104"/>
      <c r="I8" s="104"/>
      <c r="J8" s="104"/>
      <c r="K8" s="104"/>
      <c r="L8" s="104"/>
      <c r="M8" s="107"/>
      <c r="N8" s="105"/>
      <c r="P8" s="409"/>
      <c r="Q8" s="411"/>
      <c r="R8" s="411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2"/>
    </row>
    <row r="9" spans="1:29" s="64" customFormat="1" ht="30" customHeight="1" x14ac:dyDescent="0.2">
      <c r="B9" s="108"/>
      <c r="C9" s="55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376"/>
      <c r="I9" s="1376"/>
      <c r="J9" s="1376"/>
      <c r="K9" s="1376"/>
      <c r="L9" s="1376"/>
      <c r="M9" s="1376"/>
      <c r="N9" s="109"/>
      <c r="P9" s="413"/>
      <c r="Q9" s="414"/>
      <c r="R9" s="414"/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5"/>
    </row>
    <row r="10" spans="1:29" ht="7.25" customHeight="1" x14ac:dyDescent="0.15">
      <c r="B10" s="102"/>
      <c r="C10" s="103"/>
      <c r="D10" s="103"/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P10" s="409"/>
      <c r="Q10" s="411"/>
      <c r="R10" s="411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2"/>
    </row>
    <row r="11" spans="1:29" s="114" customFormat="1" ht="30" customHeight="1" x14ac:dyDescent="0.2">
      <c r="B11" s="110"/>
      <c r="C11" s="111" t="s">
        <v>409</v>
      </c>
      <c r="D11" s="111"/>
      <c r="E11" s="112"/>
      <c r="F11" s="112"/>
      <c r="G11" s="112"/>
      <c r="H11" s="112"/>
      <c r="I11" s="112"/>
      <c r="J11" s="112"/>
      <c r="K11" s="112"/>
      <c r="L11" s="112"/>
      <c r="M11" s="112"/>
      <c r="N11" s="113"/>
      <c r="P11" s="416"/>
      <c r="Q11" s="417"/>
      <c r="R11" s="417"/>
      <c r="S11" s="417"/>
      <c r="T11" s="417"/>
      <c r="U11" s="417"/>
      <c r="V11" s="417"/>
      <c r="W11" s="417"/>
      <c r="X11" s="417"/>
      <c r="Y11" s="417"/>
      <c r="Z11" s="417"/>
      <c r="AA11" s="417"/>
      <c r="AB11" s="417"/>
      <c r="AC11" s="418"/>
    </row>
    <row r="12" spans="1:29" s="114" customFormat="1" ht="30" customHeight="1" x14ac:dyDescent="0.2">
      <c r="B12" s="110"/>
      <c r="C12" s="1447"/>
      <c r="D12" s="1447"/>
      <c r="E12" s="95"/>
      <c r="F12" s="95"/>
      <c r="G12" s="95"/>
      <c r="H12" s="95"/>
      <c r="I12" s="95"/>
      <c r="J12" s="95"/>
      <c r="K12" s="95"/>
      <c r="L12" s="95"/>
      <c r="M12" s="95"/>
      <c r="N12" s="113"/>
      <c r="P12" s="416"/>
      <c r="Q12" s="417"/>
      <c r="R12" s="417"/>
      <c r="S12" s="417"/>
      <c r="T12" s="417"/>
      <c r="U12" s="417"/>
      <c r="V12" s="417"/>
      <c r="W12" s="417"/>
      <c r="X12" s="417"/>
      <c r="Y12" s="417"/>
      <c r="Z12" s="417"/>
      <c r="AA12" s="417"/>
      <c r="AB12" s="417"/>
      <c r="AC12" s="418"/>
    </row>
    <row r="13" spans="1:29" s="114" customFormat="1" ht="30" customHeight="1" x14ac:dyDescent="0.2">
      <c r="B13" s="110"/>
      <c r="C13" s="65" t="s">
        <v>420</v>
      </c>
      <c r="D13" s="21"/>
      <c r="E13" s="95"/>
      <c r="F13" s="95"/>
      <c r="G13" s="95"/>
      <c r="H13" s="95"/>
      <c r="I13" s="95"/>
      <c r="J13" s="95"/>
      <c r="K13" s="95"/>
      <c r="L13" s="95"/>
      <c r="M13" s="95"/>
      <c r="N13" s="113"/>
      <c r="P13" s="409"/>
      <c r="Q13" s="411"/>
      <c r="R13" s="411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2"/>
    </row>
    <row r="14" spans="1:29" s="114" customFormat="1" ht="30" customHeight="1" x14ac:dyDescent="0.2">
      <c r="B14" s="110"/>
      <c r="C14" s="21"/>
      <c r="D14" s="21"/>
      <c r="E14" s="95"/>
      <c r="F14" s="95"/>
      <c r="G14" s="95"/>
      <c r="H14" s="95"/>
      <c r="I14" s="95"/>
      <c r="J14" s="95"/>
      <c r="K14" s="95"/>
      <c r="L14" s="95"/>
      <c r="M14" s="95"/>
      <c r="N14" s="113"/>
      <c r="P14" s="409"/>
      <c r="Q14" s="411"/>
      <c r="R14" s="411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2"/>
    </row>
    <row r="15" spans="1:29" s="118" customFormat="1" ht="23" customHeight="1" x14ac:dyDescent="0.15">
      <c r="B15" s="116"/>
      <c r="C15" s="195"/>
      <c r="D15" s="196"/>
      <c r="E15" s="197" t="s">
        <v>411</v>
      </c>
      <c r="F15" s="197" t="s">
        <v>388</v>
      </c>
      <c r="G15" s="1435" t="s">
        <v>396</v>
      </c>
      <c r="H15" s="1436"/>
      <c r="I15" s="1436"/>
      <c r="J15" s="197" t="s">
        <v>407</v>
      </c>
      <c r="K15" s="197" t="s">
        <v>416</v>
      </c>
      <c r="L15" s="197" t="s">
        <v>417</v>
      </c>
      <c r="M15" s="1433" t="s">
        <v>758</v>
      </c>
      <c r="N15" s="117"/>
      <c r="P15" s="409"/>
      <c r="Q15" s="411"/>
      <c r="R15" s="411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2"/>
    </row>
    <row r="16" spans="1:29" ht="49.25" customHeight="1" x14ac:dyDescent="0.2">
      <c r="B16" s="102"/>
      <c r="C16" s="198" t="s">
        <v>410</v>
      </c>
      <c r="D16" s="199"/>
      <c r="E16" s="200" t="s">
        <v>412</v>
      </c>
      <c r="F16" s="200">
        <f>ejercicio</f>
        <v>2020</v>
      </c>
      <c r="G16" s="201" t="s">
        <v>413</v>
      </c>
      <c r="H16" s="202" t="s">
        <v>414</v>
      </c>
      <c r="I16" s="203" t="s">
        <v>415</v>
      </c>
      <c r="J16" s="200">
        <f>ejercicio</f>
        <v>2020</v>
      </c>
      <c r="K16" s="200" t="s">
        <v>757</v>
      </c>
      <c r="L16" s="200">
        <f>ejercicio</f>
        <v>2020</v>
      </c>
      <c r="M16" s="1434"/>
      <c r="N16" s="105"/>
      <c r="P16" s="409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2"/>
    </row>
    <row r="17" spans="2:29" ht="30" customHeight="1" thickBot="1" x14ac:dyDescent="0.25">
      <c r="B17" s="102"/>
      <c r="C17" s="1438" t="s">
        <v>418</v>
      </c>
      <c r="D17" s="1438"/>
      <c r="E17" s="1438"/>
      <c r="F17" s="1438"/>
      <c r="G17" s="1438"/>
      <c r="H17" s="1438"/>
      <c r="I17" s="1438"/>
      <c r="J17" s="1438"/>
      <c r="K17" s="1438"/>
      <c r="L17" s="1438"/>
      <c r="M17" s="1438"/>
      <c r="N17" s="105"/>
      <c r="P17" s="409"/>
      <c r="Q17" s="411"/>
      <c r="R17" s="411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2"/>
    </row>
    <row r="18" spans="2:29" s="119" customFormat="1" ht="23" customHeight="1" x14ac:dyDescent="0.15">
      <c r="B18" s="116"/>
      <c r="C18" s="1440"/>
      <c r="D18" s="1441"/>
      <c r="E18" s="833"/>
      <c r="F18" s="493"/>
      <c r="G18" s="494"/>
      <c r="H18" s="494"/>
      <c r="I18" s="494"/>
      <c r="J18" s="184">
        <f t="shared" ref="J18:J24" si="0">SUM(F18:I18)</f>
        <v>0</v>
      </c>
      <c r="K18" s="501"/>
      <c r="L18" s="502"/>
      <c r="M18" s="829"/>
      <c r="N18" s="117"/>
      <c r="P18" s="409"/>
      <c r="Q18" s="411"/>
      <c r="R18" s="411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2"/>
    </row>
    <row r="19" spans="2:29" ht="23" customHeight="1" x14ac:dyDescent="0.15">
      <c r="B19" s="116"/>
      <c r="C19" s="1442"/>
      <c r="D19" s="1443"/>
      <c r="E19" s="834"/>
      <c r="F19" s="486"/>
      <c r="G19" s="487"/>
      <c r="H19" s="487"/>
      <c r="I19" s="487"/>
      <c r="J19" s="176">
        <f t="shared" si="0"/>
        <v>0</v>
      </c>
      <c r="K19" s="503"/>
      <c r="L19" s="504"/>
      <c r="M19" s="830"/>
      <c r="N19" s="105"/>
      <c r="P19" s="409"/>
      <c r="Q19" s="411"/>
      <c r="R19" s="411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2"/>
    </row>
    <row r="20" spans="2:29" ht="23" customHeight="1" x14ac:dyDescent="0.15">
      <c r="B20" s="116"/>
      <c r="C20" s="1442"/>
      <c r="D20" s="1443"/>
      <c r="E20" s="834"/>
      <c r="F20" s="486"/>
      <c r="G20" s="487"/>
      <c r="H20" s="487"/>
      <c r="I20" s="487"/>
      <c r="J20" s="176">
        <f t="shared" si="0"/>
        <v>0</v>
      </c>
      <c r="K20" s="503"/>
      <c r="L20" s="504"/>
      <c r="M20" s="830"/>
      <c r="N20" s="105"/>
      <c r="P20" s="409"/>
      <c r="Q20" s="411"/>
      <c r="R20" s="411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2"/>
    </row>
    <row r="21" spans="2:29" ht="23" customHeight="1" x14ac:dyDescent="0.15">
      <c r="B21" s="116"/>
      <c r="C21" s="1442"/>
      <c r="D21" s="1443"/>
      <c r="E21" s="834"/>
      <c r="F21" s="486"/>
      <c r="G21" s="487"/>
      <c r="H21" s="487"/>
      <c r="I21" s="487"/>
      <c r="J21" s="176">
        <f t="shared" si="0"/>
        <v>0</v>
      </c>
      <c r="K21" s="503"/>
      <c r="L21" s="504"/>
      <c r="M21" s="830"/>
      <c r="N21" s="105"/>
      <c r="P21" s="409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2"/>
    </row>
    <row r="22" spans="2:29" ht="23" customHeight="1" x14ac:dyDescent="0.15">
      <c r="B22" s="116"/>
      <c r="C22" s="1442"/>
      <c r="D22" s="1443"/>
      <c r="E22" s="835"/>
      <c r="F22" s="495"/>
      <c r="G22" s="496"/>
      <c r="H22" s="496"/>
      <c r="I22" s="496"/>
      <c r="J22" s="176">
        <f t="shared" si="0"/>
        <v>0</v>
      </c>
      <c r="K22" s="505"/>
      <c r="L22" s="506"/>
      <c r="M22" s="831"/>
      <c r="N22" s="105"/>
      <c r="P22" s="409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2"/>
    </row>
    <row r="23" spans="2:29" ht="23" customHeight="1" x14ac:dyDescent="0.15">
      <c r="B23" s="116"/>
      <c r="C23" s="1442"/>
      <c r="D23" s="1443"/>
      <c r="E23" s="835"/>
      <c r="F23" s="495"/>
      <c r="G23" s="496"/>
      <c r="H23" s="496"/>
      <c r="I23" s="496"/>
      <c r="J23" s="176">
        <f t="shared" si="0"/>
        <v>0</v>
      </c>
      <c r="K23" s="505"/>
      <c r="L23" s="506"/>
      <c r="M23" s="831"/>
      <c r="N23" s="105"/>
      <c r="P23" s="409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2"/>
    </row>
    <row r="24" spans="2:29" ht="23" customHeight="1" x14ac:dyDescent="0.15">
      <c r="B24" s="116"/>
      <c r="C24" s="497"/>
      <c r="D24" s="498"/>
      <c r="E24" s="836"/>
      <c r="F24" s="490"/>
      <c r="G24" s="491"/>
      <c r="H24" s="491"/>
      <c r="I24" s="491"/>
      <c r="J24" s="177">
        <f t="shared" si="0"/>
        <v>0</v>
      </c>
      <c r="K24" s="507"/>
      <c r="L24" s="508"/>
      <c r="M24" s="832"/>
      <c r="N24" s="105"/>
      <c r="P24" s="409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2"/>
    </row>
    <row r="25" spans="2:29" ht="23" customHeight="1" thickBot="1" x14ac:dyDescent="0.2">
      <c r="B25" s="116"/>
      <c r="C25" s="162" t="s">
        <v>394</v>
      </c>
      <c r="D25" s="163"/>
      <c r="E25" s="175"/>
      <c r="F25" s="175">
        <f>SUM(F18:F24)</f>
        <v>0</v>
      </c>
      <c r="G25" s="175">
        <f>SUM(G18:G24)</f>
        <v>0</v>
      </c>
      <c r="H25" s="175">
        <f>SUM(H18:H24)</f>
        <v>0</v>
      </c>
      <c r="I25" s="175">
        <f>SUM(I18:I24)</f>
        <v>0</v>
      </c>
      <c r="J25" s="175">
        <f>SUM(J18:J24)</f>
        <v>0</v>
      </c>
      <c r="K25" s="180"/>
      <c r="L25" s="175">
        <f>SUM(L18:L24)</f>
        <v>0</v>
      </c>
      <c r="M25" s="164"/>
      <c r="N25" s="105"/>
      <c r="P25" s="409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2"/>
    </row>
    <row r="26" spans="2:29" ht="30" customHeight="1" thickBot="1" x14ac:dyDescent="0.25">
      <c r="B26" s="102"/>
      <c r="C26" s="1439" t="s">
        <v>419</v>
      </c>
      <c r="D26" s="1439"/>
      <c r="E26" s="1439"/>
      <c r="F26" s="1439"/>
      <c r="G26" s="1439"/>
      <c r="H26" s="1439"/>
      <c r="I26" s="1439"/>
      <c r="J26" s="1439"/>
      <c r="K26" s="1439"/>
      <c r="L26" s="1439"/>
      <c r="M26" s="1439"/>
      <c r="N26" s="105"/>
      <c r="P26" s="409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2"/>
    </row>
    <row r="27" spans="2:29" ht="23" customHeight="1" x14ac:dyDescent="0.15">
      <c r="B27" s="116"/>
      <c r="C27" s="1440"/>
      <c r="D27" s="1444"/>
      <c r="E27" s="833"/>
      <c r="F27" s="493"/>
      <c r="G27" s="494"/>
      <c r="H27" s="494"/>
      <c r="I27" s="494"/>
      <c r="J27" s="184">
        <f t="shared" ref="J27:J33" si="1">SUM(F27:I27)</f>
        <v>0</v>
      </c>
      <c r="K27" s="501"/>
      <c r="L27" s="502"/>
      <c r="M27" s="829"/>
      <c r="N27" s="117"/>
      <c r="P27" s="409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2"/>
    </row>
    <row r="28" spans="2:29" ht="23" customHeight="1" x14ac:dyDescent="0.15">
      <c r="B28" s="116"/>
      <c r="C28" s="1445"/>
      <c r="D28" s="1446"/>
      <c r="E28" s="834"/>
      <c r="F28" s="486"/>
      <c r="G28" s="487"/>
      <c r="H28" s="487"/>
      <c r="I28" s="487"/>
      <c r="J28" s="176">
        <f t="shared" si="1"/>
        <v>0</v>
      </c>
      <c r="K28" s="503"/>
      <c r="L28" s="504"/>
      <c r="M28" s="830"/>
      <c r="N28" s="105"/>
      <c r="P28" s="409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2"/>
    </row>
    <row r="29" spans="2:29" ht="23" customHeight="1" x14ac:dyDescent="0.15">
      <c r="B29" s="116"/>
      <c r="C29" s="1445"/>
      <c r="D29" s="1446"/>
      <c r="E29" s="834"/>
      <c r="F29" s="486"/>
      <c r="G29" s="487"/>
      <c r="H29" s="487"/>
      <c r="I29" s="487"/>
      <c r="J29" s="176">
        <f t="shared" si="1"/>
        <v>0</v>
      </c>
      <c r="K29" s="503"/>
      <c r="L29" s="504"/>
      <c r="M29" s="830"/>
      <c r="N29" s="105"/>
      <c r="P29" s="409"/>
      <c r="Q29" s="411"/>
      <c r="R29" s="411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2"/>
    </row>
    <row r="30" spans="2:29" ht="23" customHeight="1" x14ac:dyDescent="0.15">
      <c r="B30" s="116"/>
      <c r="C30" s="1445"/>
      <c r="D30" s="1446"/>
      <c r="E30" s="834"/>
      <c r="F30" s="486"/>
      <c r="G30" s="487"/>
      <c r="H30" s="487"/>
      <c r="I30" s="487"/>
      <c r="J30" s="176">
        <f t="shared" si="1"/>
        <v>0</v>
      </c>
      <c r="K30" s="503"/>
      <c r="L30" s="504"/>
      <c r="M30" s="830"/>
      <c r="N30" s="105"/>
      <c r="P30" s="419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1"/>
    </row>
    <row r="31" spans="2:29" ht="23" customHeight="1" x14ac:dyDescent="0.15">
      <c r="B31" s="116"/>
      <c r="C31" s="1442"/>
      <c r="D31" s="1443"/>
      <c r="E31" s="835"/>
      <c r="F31" s="495"/>
      <c r="G31" s="496"/>
      <c r="H31" s="496"/>
      <c r="I31" s="496"/>
      <c r="J31" s="176">
        <f t="shared" si="1"/>
        <v>0</v>
      </c>
      <c r="K31" s="505"/>
      <c r="L31" s="506"/>
      <c r="M31" s="831"/>
      <c r="N31" s="105"/>
      <c r="P31" s="419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1"/>
    </row>
    <row r="32" spans="2:29" ht="23" customHeight="1" x14ac:dyDescent="0.15">
      <c r="B32" s="116"/>
      <c r="C32" s="1442"/>
      <c r="D32" s="1443"/>
      <c r="E32" s="835"/>
      <c r="F32" s="495"/>
      <c r="G32" s="496"/>
      <c r="H32" s="496"/>
      <c r="I32" s="496"/>
      <c r="J32" s="176">
        <f t="shared" si="1"/>
        <v>0</v>
      </c>
      <c r="K32" s="505"/>
      <c r="L32" s="506"/>
      <c r="M32" s="831"/>
      <c r="N32" s="105"/>
      <c r="P32" s="409"/>
      <c r="Q32" s="411"/>
      <c r="R32" s="411"/>
      <c r="S32" s="411"/>
      <c r="T32" s="411"/>
      <c r="U32" s="411"/>
      <c r="V32" s="411"/>
      <c r="W32" s="411"/>
      <c r="X32" s="411"/>
      <c r="Y32" s="411"/>
      <c r="Z32" s="411"/>
      <c r="AA32" s="411"/>
      <c r="AB32" s="411"/>
      <c r="AC32" s="412"/>
    </row>
    <row r="33" spans="2:29" ht="23" customHeight="1" x14ac:dyDescent="0.15">
      <c r="B33" s="116"/>
      <c r="C33" s="1448"/>
      <c r="D33" s="1449"/>
      <c r="E33" s="836"/>
      <c r="F33" s="490"/>
      <c r="G33" s="491"/>
      <c r="H33" s="491"/>
      <c r="I33" s="491"/>
      <c r="J33" s="177">
        <f t="shared" si="1"/>
        <v>0</v>
      </c>
      <c r="K33" s="507"/>
      <c r="L33" s="508"/>
      <c r="M33" s="832"/>
      <c r="N33" s="105"/>
      <c r="P33" s="409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2"/>
    </row>
    <row r="34" spans="2:29" ht="23" customHeight="1" thickBot="1" x14ac:dyDescent="0.2">
      <c r="B34" s="116"/>
      <c r="C34" s="162" t="s">
        <v>394</v>
      </c>
      <c r="D34" s="163"/>
      <c r="E34" s="175"/>
      <c r="F34" s="175">
        <f>SUM(F27:F33)</f>
        <v>0</v>
      </c>
      <c r="G34" s="175">
        <f>SUM(G27:G33)</f>
        <v>0</v>
      </c>
      <c r="H34" s="175">
        <f>SUM(H27:H33)</f>
        <v>0</v>
      </c>
      <c r="I34" s="175">
        <f>SUM(I27:I33)</f>
        <v>0</v>
      </c>
      <c r="J34" s="175">
        <f>SUM(J27:J33)</f>
        <v>0</v>
      </c>
      <c r="K34" s="180"/>
      <c r="L34" s="175">
        <f>SUM(L27:L33)</f>
        <v>0</v>
      </c>
      <c r="M34" s="164"/>
      <c r="N34" s="105"/>
      <c r="P34" s="409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2"/>
    </row>
    <row r="35" spans="2:29" ht="23" customHeight="1" x14ac:dyDescent="0.15">
      <c r="B35" s="116"/>
      <c r="C35" s="152"/>
      <c r="D35" s="152"/>
      <c r="E35" s="153"/>
      <c r="F35" s="153"/>
      <c r="G35" s="153"/>
      <c r="H35" s="153"/>
      <c r="I35" s="153"/>
      <c r="J35" s="153"/>
      <c r="K35" s="153"/>
      <c r="L35" s="153"/>
      <c r="M35" s="153"/>
      <c r="N35" s="105"/>
      <c r="P35" s="409"/>
      <c r="Q35" s="411"/>
      <c r="R35" s="411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2"/>
    </row>
    <row r="36" spans="2:29" ht="23" customHeight="1" x14ac:dyDescent="0.15">
      <c r="B36" s="116"/>
      <c r="C36" s="152"/>
      <c r="D36" s="152"/>
      <c r="E36" s="153"/>
      <c r="F36" s="153"/>
      <c r="G36" s="153"/>
      <c r="H36" s="153"/>
      <c r="I36" s="153"/>
      <c r="J36" s="153"/>
      <c r="K36" s="153"/>
      <c r="L36" s="153"/>
      <c r="M36" s="153"/>
      <c r="N36" s="105"/>
      <c r="P36" s="422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4"/>
    </row>
    <row r="37" spans="2:29" ht="23" customHeight="1" x14ac:dyDescent="0.15">
      <c r="B37" s="116"/>
      <c r="C37" s="65" t="s">
        <v>421</v>
      </c>
      <c r="D37" s="21"/>
      <c r="E37" s="95"/>
      <c r="F37" s="95"/>
      <c r="G37" s="95"/>
      <c r="H37" s="95"/>
      <c r="I37" s="95"/>
      <c r="J37" s="95"/>
      <c r="K37" s="95"/>
      <c r="L37" s="95"/>
      <c r="M37" s="95"/>
      <c r="N37" s="105"/>
      <c r="P37" s="422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4"/>
    </row>
    <row r="38" spans="2:29" ht="23" customHeight="1" x14ac:dyDescent="0.15">
      <c r="B38" s="116"/>
      <c r="C38" s="21"/>
      <c r="D38" s="21"/>
      <c r="E38" s="95"/>
      <c r="F38" s="95"/>
      <c r="G38" s="95"/>
      <c r="H38" s="95"/>
      <c r="I38" s="95"/>
      <c r="J38" s="95"/>
      <c r="K38" s="95"/>
      <c r="L38" s="95"/>
      <c r="M38" s="95"/>
      <c r="N38" s="105"/>
      <c r="P38" s="422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4"/>
    </row>
    <row r="39" spans="2:29" ht="23" customHeight="1" x14ac:dyDescent="0.15">
      <c r="B39" s="116"/>
      <c r="C39" s="195"/>
      <c r="D39" s="196"/>
      <c r="E39" s="197" t="s">
        <v>411</v>
      </c>
      <c r="F39" s="197" t="s">
        <v>388</v>
      </c>
      <c r="G39" s="1435" t="s">
        <v>396</v>
      </c>
      <c r="H39" s="1436"/>
      <c r="I39" s="1436"/>
      <c r="J39" s="197" t="s">
        <v>407</v>
      </c>
      <c r="K39" s="197" t="s">
        <v>416</v>
      </c>
      <c r="L39" s="197" t="s">
        <v>417</v>
      </c>
      <c r="M39" s="1433" t="s">
        <v>761</v>
      </c>
      <c r="N39" s="105"/>
      <c r="P39" s="422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4"/>
    </row>
    <row r="40" spans="2:29" ht="49.25" customHeight="1" x14ac:dyDescent="0.2">
      <c r="B40" s="116"/>
      <c r="C40" s="198" t="s">
        <v>410</v>
      </c>
      <c r="D40" s="199"/>
      <c r="E40" s="200" t="s">
        <v>412</v>
      </c>
      <c r="F40" s="200">
        <f>ejercicio</f>
        <v>2020</v>
      </c>
      <c r="G40" s="201" t="s">
        <v>413</v>
      </c>
      <c r="H40" s="202" t="s">
        <v>414</v>
      </c>
      <c r="I40" s="203" t="s">
        <v>415</v>
      </c>
      <c r="J40" s="200">
        <f>ejercicio</f>
        <v>2020</v>
      </c>
      <c r="K40" s="200" t="s">
        <v>760</v>
      </c>
      <c r="L40" s="200">
        <f>ejercicio</f>
        <v>2020</v>
      </c>
      <c r="M40" s="1434"/>
      <c r="N40" s="105"/>
      <c r="P40" s="422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4"/>
    </row>
    <row r="41" spans="2:29" ht="30" customHeight="1" thickBot="1" x14ac:dyDescent="0.25">
      <c r="B41" s="116"/>
      <c r="C41" s="1438" t="s">
        <v>422</v>
      </c>
      <c r="D41" s="1438"/>
      <c r="E41" s="1438"/>
      <c r="F41" s="1438"/>
      <c r="G41" s="1438"/>
      <c r="H41" s="1438"/>
      <c r="I41" s="1438"/>
      <c r="J41" s="1438"/>
      <c r="K41" s="1438"/>
      <c r="L41" s="1438"/>
      <c r="M41" s="1438"/>
      <c r="N41" s="105"/>
      <c r="P41" s="422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4"/>
    </row>
    <row r="42" spans="2:29" ht="23" customHeight="1" x14ac:dyDescent="0.15">
      <c r="B42" s="116"/>
      <c r="C42" s="1440"/>
      <c r="D42" s="1441"/>
      <c r="E42" s="833"/>
      <c r="F42" s="493"/>
      <c r="G42" s="494"/>
      <c r="H42" s="494"/>
      <c r="I42" s="494"/>
      <c r="J42" s="184">
        <f t="shared" ref="J42:J48" si="2">SUM(F42:I42)</f>
        <v>0</v>
      </c>
      <c r="K42" s="501"/>
      <c r="L42" s="825"/>
      <c r="M42" s="829"/>
      <c r="N42" s="105"/>
      <c r="P42" s="422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4"/>
    </row>
    <row r="43" spans="2:29" ht="23" customHeight="1" x14ac:dyDescent="0.15">
      <c r="B43" s="116"/>
      <c r="C43" s="1442"/>
      <c r="D43" s="1443"/>
      <c r="E43" s="834"/>
      <c r="F43" s="486"/>
      <c r="G43" s="487"/>
      <c r="H43" s="487"/>
      <c r="I43" s="487"/>
      <c r="J43" s="176">
        <f t="shared" si="2"/>
        <v>0</v>
      </c>
      <c r="K43" s="503"/>
      <c r="L43" s="826"/>
      <c r="M43" s="830"/>
      <c r="N43" s="105"/>
      <c r="P43" s="422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4"/>
    </row>
    <row r="44" spans="2:29" ht="23" customHeight="1" x14ac:dyDescent="0.15">
      <c r="B44" s="116"/>
      <c r="C44" s="1442"/>
      <c r="D44" s="1443"/>
      <c r="E44" s="834"/>
      <c r="F44" s="486"/>
      <c r="G44" s="487"/>
      <c r="H44" s="487"/>
      <c r="I44" s="487"/>
      <c r="J44" s="176">
        <f t="shared" si="2"/>
        <v>0</v>
      </c>
      <c r="K44" s="503"/>
      <c r="L44" s="826"/>
      <c r="M44" s="830"/>
      <c r="N44" s="105"/>
      <c r="P44" s="422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4"/>
    </row>
    <row r="45" spans="2:29" ht="23" customHeight="1" x14ac:dyDescent="0.15">
      <c r="B45" s="116"/>
      <c r="C45" s="1442"/>
      <c r="D45" s="1443"/>
      <c r="E45" s="834"/>
      <c r="F45" s="486"/>
      <c r="G45" s="487"/>
      <c r="H45" s="487"/>
      <c r="I45" s="487"/>
      <c r="J45" s="176">
        <f t="shared" si="2"/>
        <v>0</v>
      </c>
      <c r="K45" s="503"/>
      <c r="L45" s="826"/>
      <c r="M45" s="830"/>
      <c r="N45" s="105"/>
      <c r="P45" s="422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4"/>
    </row>
    <row r="46" spans="2:29" ht="23" customHeight="1" x14ac:dyDescent="0.15">
      <c r="B46" s="116"/>
      <c r="C46" s="1442"/>
      <c r="D46" s="1443"/>
      <c r="E46" s="835"/>
      <c r="F46" s="495"/>
      <c r="G46" s="496"/>
      <c r="H46" s="496"/>
      <c r="I46" s="496"/>
      <c r="J46" s="176">
        <f t="shared" si="2"/>
        <v>0</v>
      </c>
      <c r="K46" s="505"/>
      <c r="L46" s="827"/>
      <c r="M46" s="831"/>
      <c r="N46" s="105"/>
      <c r="P46" s="422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  <c r="AC46" s="424"/>
    </row>
    <row r="47" spans="2:29" ht="23" customHeight="1" x14ac:dyDescent="0.15">
      <c r="B47" s="116"/>
      <c r="C47" s="1442"/>
      <c r="D47" s="1443"/>
      <c r="E47" s="835"/>
      <c r="F47" s="495"/>
      <c r="G47" s="496"/>
      <c r="H47" s="496"/>
      <c r="I47" s="496"/>
      <c r="J47" s="176">
        <f t="shared" si="2"/>
        <v>0</v>
      </c>
      <c r="K47" s="505"/>
      <c r="L47" s="827"/>
      <c r="M47" s="831"/>
      <c r="N47" s="105"/>
      <c r="P47" s="422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  <c r="AC47" s="424"/>
    </row>
    <row r="48" spans="2:29" ht="23" customHeight="1" x14ac:dyDescent="0.15">
      <c r="B48" s="116"/>
      <c r="C48" s="1448"/>
      <c r="D48" s="1449"/>
      <c r="E48" s="836"/>
      <c r="F48" s="490"/>
      <c r="G48" s="491"/>
      <c r="H48" s="491"/>
      <c r="I48" s="491"/>
      <c r="J48" s="177">
        <f t="shared" si="2"/>
        <v>0</v>
      </c>
      <c r="K48" s="507"/>
      <c r="L48" s="828"/>
      <c r="M48" s="832"/>
      <c r="N48" s="105"/>
      <c r="P48" s="422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4"/>
    </row>
    <row r="49" spans="2:29" ht="23" customHeight="1" thickBot="1" x14ac:dyDescent="0.2">
      <c r="B49" s="116"/>
      <c r="C49" s="162" t="s">
        <v>394</v>
      </c>
      <c r="D49" s="163"/>
      <c r="E49" s="175"/>
      <c r="F49" s="175">
        <f>SUM(F42:F48)</f>
        <v>0</v>
      </c>
      <c r="G49" s="175">
        <f>SUM(G42:G48)</f>
        <v>0</v>
      </c>
      <c r="H49" s="175">
        <f>SUM(H42:H48)</f>
        <v>0</v>
      </c>
      <c r="I49" s="175">
        <f>SUM(I42:I48)</f>
        <v>0</v>
      </c>
      <c r="J49" s="175">
        <f>SUM(J42:J48)</f>
        <v>0</v>
      </c>
      <c r="K49" s="509"/>
      <c r="L49" s="175">
        <f>SUM(L42:L48)</f>
        <v>0</v>
      </c>
      <c r="M49" s="164"/>
      <c r="N49" s="105"/>
      <c r="P49" s="422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  <c r="AC49" s="424"/>
    </row>
    <row r="50" spans="2:29" ht="29" customHeight="1" thickBot="1" x14ac:dyDescent="0.25">
      <c r="B50" s="116"/>
      <c r="C50" s="1439" t="s">
        <v>423</v>
      </c>
      <c r="D50" s="1439"/>
      <c r="E50" s="1439"/>
      <c r="F50" s="1439"/>
      <c r="G50" s="1439"/>
      <c r="H50" s="1439"/>
      <c r="I50" s="1439"/>
      <c r="J50" s="1439"/>
      <c r="K50" s="1439"/>
      <c r="L50" s="1439"/>
      <c r="M50" s="1439"/>
      <c r="N50" s="105"/>
      <c r="P50" s="422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4"/>
    </row>
    <row r="51" spans="2:29" ht="23" customHeight="1" x14ac:dyDescent="0.15">
      <c r="B51" s="116"/>
      <c r="C51" s="1445" t="s">
        <v>1076</v>
      </c>
      <c r="D51" s="1446"/>
      <c r="E51" s="833">
        <v>26000000</v>
      </c>
      <c r="F51" s="493">
        <v>2871.67</v>
      </c>
      <c r="G51" s="494"/>
      <c r="H51" s="494"/>
      <c r="I51" s="494"/>
      <c r="J51" s="184">
        <f t="shared" ref="J51:J57" si="3">SUM(F51:I51)</f>
        <v>2871.67</v>
      </c>
      <c r="K51" s="501"/>
      <c r="L51" s="502"/>
      <c r="M51" s="829"/>
      <c r="N51" s="105"/>
      <c r="P51" s="422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4"/>
    </row>
    <row r="52" spans="2:29" ht="23" customHeight="1" x14ac:dyDescent="0.15">
      <c r="B52" s="116"/>
      <c r="C52" s="1445" t="s">
        <v>1077</v>
      </c>
      <c r="D52" s="1446"/>
      <c r="E52" s="834">
        <v>26000001</v>
      </c>
      <c r="F52" s="486">
        <v>100</v>
      </c>
      <c r="G52" s="487"/>
      <c r="H52" s="487"/>
      <c r="I52" s="487"/>
      <c r="J52" s="176">
        <f t="shared" si="3"/>
        <v>100</v>
      </c>
      <c r="K52" s="503"/>
      <c r="L52" s="504"/>
      <c r="M52" s="830"/>
      <c r="N52" s="105"/>
      <c r="P52" s="422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  <c r="AC52" s="424"/>
    </row>
    <row r="53" spans="2:29" ht="23" customHeight="1" x14ac:dyDescent="0.15">
      <c r="B53" s="116"/>
      <c r="C53" s="1442"/>
      <c r="D53" s="1443"/>
      <c r="E53" s="834"/>
      <c r="F53" s="486"/>
      <c r="G53" s="487"/>
      <c r="H53" s="487"/>
      <c r="I53" s="487"/>
      <c r="J53" s="176">
        <f t="shared" si="3"/>
        <v>0</v>
      </c>
      <c r="K53" s="503"/>
      <c r="L53" s="504"/>
      <c r="M53" s="830"/>
      <c r="N53" s="105"/>
      <c r="P53" s="422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4"/>
    </row>
    <row r="54" spans="2:29" ht="23" customHeight="1" x14ac:dyDescent="0.15">
      <c r="B54" s="116"/>
      <c r="C54" s="1442"/>
      <c r="D54" s="1443"/>
      <c r="E54" s="834"/>
      <c r="F54" s="486"/>
      <c r="G54" s="487"/>
      <c r="H54" s="487"/>
      <c r="I54" s="487"/>
      <c r="J54" s="176">
        <f t="shared" si="3"/>
        <v>0</v>
      </c>
      <c r="K54" s="503"/>
      <c r="L54" s="504"/>
      <c r="M54" s="830"/>
      <c r="N54" s="105"/>
      <c r="P54" s="422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  <c r="AC54" s="424"/>
    </row>
    <row r="55" spans="2:29" ht="23" customHeight="1" x14ac:dyDescent="0.15">
      <c r="B55" s="116"/>
      <c r="C55" s="1442"/>
      <c r="D55" s="1443"/>
      <c r="E55" s="835"/>
      <c r="F55" s="495"/>
      <c r="G55" s="496"/>
      <c r="H55" s="496"/>
      <c r="I55" s="496"/>
      <c r="J55" s="176">
        <f t="shared" si="3"/>
        <v>0</v>
      </c>
      <c r="K55" s="505"/>
      <c r="L55" s="506"/>
      <c r="M55" s="831"/>
      <c r="N55" s="105"/>
      <c r="P55" s="422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4"/>
    </row>
    <row r="56" spans="2:29" ht="23" customHeight="1" x14ac:dyDescent="0.15">
      <c r="B56" s="116"/>
      <c r="C56" s="1442"/>
      <c r="D56" s="1443"/>
      <c r="E56" s="835"/>
      <c r="F56" s="495"/>
      <c r="G56" s="496"/>
      <c r="H56" s="496"/>
      <c r="I56" s="496"/>
      <c r="J56" s="176">
        <f t="shared" si="3"/>
        <v>0</v>
      </c>
      <c r="K56" s="505"/>
      <c r="L56" s="506"/>
      <c r="M56" s="831"/>
      <c r="N56" s="105"/>
      <c r="P56" s="422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4"/>
    </row>
    <row r="57" spans="2:29" ht="23" customHeight="1" x14ac:dyDescent="0.15">
      <c r="B57" s="116"/>
      <c r="C57" s="1448"/>
      <c r="D57" s="1449"/>
      <c r="E57" s="836"/>
      <c r="F57" s="490"/>
      <c r="G57" s="491"/>
      <c r="H57" s="491"/>
      <c r="I57" s="491"/>
      <c r="J57" s="177">
        <f t="shared" si="3"/>
        <v>0</v>
      </c>
      <c r="K57" s="507"/>
      <c r="L57" s="508"/>
      <c r="M57" s="832"/>
      <c r="N57" s="105"/>
      <c r="P57" s="422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4"/>
    </row>
    <row r="58" spans="2:29" ht="23" customHeight="1" thickBot="1" x14ac:dyDescent="0.2">
      <c r="B58" s="116"/>
      <c r="C58" s="162" t="s">
        <v>394</v>
      </c>
      <c r="D58" s="163"/>
      <c r="E58" s="175"/>
      <c r="F58" s="175">
        <f>SUM(F51:F57)</f>
        <v>2971.67</v>
      </c>
      <c r="G58" s="175">
        <f>SUM(G51:G57)</f>
        <v>0</v>
      </c>
      <c r="H58" s="175">
        <f>SUM(H51:H57)</f>
        <v>0</v>
      </c>
      <c r="I58" s="175">
        <f>SUM(I51:I57)</f>
        <v>0</v>
      </c>
      <c r="J58" s="175">
        <f>SUM(J51:J57)</f>
        <v>2971.67</v>
      </c>
      <c r="K58" s="180"/>
      <c r="L58" s="175">
        <f>SUM(L51:L57)</f>
        <v>0</v>
      </c>
      <c r="M58" s="164"/>
      <c r="N58" s="105"/>
      <c r="P58" s="422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4"/>
    </row>
    <row r="59" spans="2:29" ht="23" customHeight="1" x14ac:dyDescent="0.15">
      <c r="B59" s="116"/>
      <c r="C59" s="152"/>
      <c r="D59" s="152"/>
      <c r="E59" s="153"/>
      <c r="F59" s="153"/>
      <c r="G59" s="153"/>
      <c r="H59" s="153"/>
      <c r="I59" s="153"/>
      <c r="J59" s="153"/>
      <c r="K59" s="153"/>
      <c r="L59" s="153"/>
      <c r="M59" s="153"/>
      <c r="N59" s="105"/>
      <c r="P59" s="422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  <c r="AC59" s="424"/>
    </row>
    <row r="60" spans="2:29" ht="23" customHeight="1" x14ac:dyDescent="0.15">
      <c r="B60" s="116"/>
      <c r="C60" s="171" t="s">
        <v>405</v>
      </c>
      <c r="D60" s="169"/>
      <c r="E60" s="170"/>
      <c r="F60" s="170"/>
      <c r="G60" s="170"/>
      <c r="H60" s="170"/>
      <c r="I60" s="170"/>
      <c r="J60" s="170"/>
      <c r="K60" s="170"/>
      <c r="L60" s="170"/>
      <c r="M60" s="95"/>
      <c r="N60" s="105"/>
      <c r="P60" s="422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4"/>
    </row>
    <row r="61" spans="2:29" ht="18" x14ac:dyDescent="0.15">
      <c r="B61" s="116"/>
      <c r="C61" s="169" t="s">
        <v>424</v>
      </c>
      <c r="D61" s="169"/>
      <c r="E61" s="170"/>
      <c r="F61" s="170"/>
      <c r="G61" s="170"/>
      <c r="H61" s="170"/>
      <c r="I61" s="170"/>
      <c r="J61" s="170"/>
      <c r="K61" s="170"/>
      <c r="L61" s="170"/>
      <c r="M61" s="95"/>
      <c r="N61" s="105"/>
      <c r="P61" s="422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  <c r="AC61" s="424"/>
    </row>
    <row r="62" spans="2:29" ht="18" x14ac:dyDescent="0.15">
      <c r="B62" s="116"/>
      <c r="C62" s="169" t="s">
        <v>425</v>
      </c>
      <c r="D62" s="169"/>
      <c r="E62" s="170"/>
      <c r="F62" s="170"/>
      <c r="G62" s="170"/>
      <c r="H62" s="170"/>
      <c r="I62" s="170"/>
      <c r="J62" s="170"/>
      <c r="K62" s="170"/>
      <c r="L62" s="170"/>
      <c r="M62" s="95"/>
      <c r="N62" s="105"/>
      <c r="P62" s="422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  <c r="AC62" s="424"/>
    </row>
    <row r="63" spans="2:29" ht="18" x14ac:dyDescent="0.15">
      <c r="B63" s="116"/>
      <c r="C63" s="169" t="s">
        <v>426</v>
      </c>
      <c r="D63" s="169"/>
      <c r="E63" s="170"/>
      <c r="F63" s="170"/>
      <c r="G63" s="170"/>
      <c r="H63" s="170"/>
      <c r="I63" s="170"/>
      <c r="J63" s="170"/>
      <c r="K63" s="170"/>
      <c r="L63" s="170"/>
      <c r="M63" s="95"/>
      <c r="N63" s="105"/>
      <c r="P63" s="422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  <c r="AC63" s="424"/>
    </row>
    <row r="64" spans="2:29" ht="18" x14ac:dyDescent="0.15">
      <c r="B64" s="116"/>
      <c r="C64" s="169" t="s">
        <v>427</v>
      </c>
      <c r="D64" s="169"/>
      <c r="E64" s="170"/>
      <c r="F64" s="170"/>
      <c r="G64" s="170"/>
      <c r="H64" s="170"/>
      <c r="I64" s="170"/>
      <c r="J64" s="170"/>
      <c r="K64" s="170"/>
      <c r="L64" s="170"/>
      <c r="M64" s="95"/>
      <c r="N64" s="105"/>
      <c r="P64" s="422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4"/>
    </row>
    <row r="65" spans="2:29" ht="18" x14ac:dyDescent="0.15">
      <c r="B65" s="116"/>
      <c r="C65" s="169" t="s">
        <v>428</v>
      </c>
      <c r="D65" s="169"/>
      <c r="E65" s="170"/>
      <c r="F65" s="170"/>
      <c r="G65" s="170"/>
      <c r="H65" s="170"/>
      <c r="I65" s="170"/>
      <c r="J65" s="170"/>
      <c r="K65" s="170"/>
      <c r="L65" s="170"/>
      <c r="M65" s="95"/>
      <c r="N65" s="105"/>
      <c r="P65" s="422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  <c r="AC65" s="424"/>
    </row>
    <row r="66" spans="2:29" ht="18" x14ac:dyDescent="0.15">
      <c r="B66" s="116"/>
      <c r="C66" s="169" t="s">
        <v>759</v>
      </c>
      <c r="D66" s="169"/>
      <c r="E66" s="170"/>
      <c r="F66" s="170"/>
      <c r="G66" s="170"/>
      <c r="H66" s="170"/>
      <c r="I66" s="170"/>
      <c r="J66" s="170"/>
      <c r="K66" s="170"/>
      <c r="L66" s="170"/>
      <c r="M66" s="95"/>
      <c r="N66" s="105"/>
      <c r="P66" s="422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  <c r="AC66" s="424"/>
    </row>
    <row r="67" spans="2:29" ht="18" x14ac:dyDescent="0.15">
      <c r="B67" s="116"/>
      <c r="C67" s="169" t="s">
        <v>698</v>
      </c>
      <c r="D67" s="169"/>
      <c r="E67" s="170"/>
      <c r="F67" s="170"/>
      <c r="G67" s="170"/>
      <c r="H67" s="170"/>
      <c r="I67" s="170"/>
      <c r="J67" s="170"/>
      <c r="K67" s="170"/>
      <c r="L67" s="170"/>
      <c r="M67" s="95"/>
      <c r="N67" s="105"/>
      <c r="P67" s="422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4"/>
    </row>
    <row r="68" spans="2:29" ht="18" x14ac:dyDescent="0.15">
      <c r="B68" s="116"/>
      <c r="C68" s="169" t="s">
        <v>429</v>
      </c>
      <c r="D68" s="169"/>
      <c r="E68" s="170"/>
      <c r="F68" s="170"/>
      <c r="G68" s="170"/>
      <c r="H68" s="170"/>
      <c r="I68" s="170"/>
      <c r="J68" s="170"/>
      <c r="K68" s="170"/>
      <c r="L68" s="170"/>
      <c r="M68" s="95"/>
      <c r="N68" s="105"/>
      <c r="P68" s="422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4"/>
    </row>
    <row r="69" spans="2:29" ht="18" x14ac:dyDescent="0.15">
      <c r="B69" s="116"/>
      <c r="C69" s="169" t="s">
        <v>430</v>
      </c>
      <c r="D69" s="169"/>
      <c r="E69" s="170"/>
      <c r="F69" s="170"/>
      <c r="G69" s="170"/>
      <c r="H69" s="170"/>
      <c r="I69" s="170"/>
      <c r="J69" s="170"/>
      <c r="K69" s="170"/>
      <c r="L69" s="170"/>
      <c r="M69" s="95"/>
      <c r="N69" s="105"/>
      <c r="P69" s="422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4"/>
    </row>
    <row r="70" spans="2:29" ht="18" x14ac:dyDescent="0.15">
      <c r="B70" s="116"/>
      <c r="C70" s="169" t="s">
        <v>431</v>
      </c>
      <c r="D70" s="169"/>
      <c r="E70" s="170"/>
      <c r="F70" s="170"/>
      <c r="G70" s="170"/>
      <c r="H70" s="170"/>
      <c r="I70" s="170"/>
      <c r="J70" s="170"/>
      <c r="K70" s="170"/>
      <c r="L70" s="170"/>
      <c r="M70" s="95"/>
      <c r="N70" s="105"/>
      <c r="P70" s="422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4"/>
    </row>
    <row r="71" spans="2:29" ht="23" customHeight="1" thickBot="1" x14ac:dyDescent="0.2">
      <c r="B71" s="120"/>
      <c r="C71" s="1375"/>
      <c r="D71" s="1375"/>
      <c r="E71" s="1375"/>
      <c r="F71" s="1375"/>
      <c r="G71" s="56"/>
      <c r="H71" s="56"/>
      <c r="I71" s="56"/>
      <c r="J71" s="56"/>
      <c r="K71" s="56"/>
      <c r="L71" s="56"/>
      <c r="M71" s="121"/>
      <c r="N71" s="122"/>
      <c r="P71" s="425"/>
      <c r="Q71" s="426"/>
      <c r="R71" s="426"/>
      <c r="S71" s="426"/>
      <c r="T71" s="426"/>
      <c r="U71" s="426"/>
      <c r="V71" s="426"/>
      <c r="W71" s="426"/>
      <c r="X71" s="426"/>
      <c r="Y71" s="426"/>
      <c r="Z71" s="426"/>
      <c r="AA71" s="426"/>
      <c r="AB71" s="426"/>
      <c r="AC71" s="427"/>
    </row>
    <row r="72" spans="2:29" ht="23" customHeight="1" x14ac:dyDescent="0.15">
      <c r="C72" s="103"/>
      <c r="D72" s="103"/>
      <c r="E72" s="104"/>
      <c r="F72" s="104"/>
      <c r="G72" s="104"/>
      <c r="H72" s="104"/>
      <c r="I72" s="104"/>
      <c r="J72" s="104"/>
      <c r="K72" s="104"/>
      <c r="L72" s="104"/>
      <c r="M72" s="104"/>
      <c r="O72" s="96" t="s">
        <v>936</v>
      </c>
    </row>
    <row r="73" spans="2:29" ht="13" x14ac:dyDescent="0.15">
      <c r="C73" s="123" t="s">
        <v>70</v>
      </c>
      <c r="D73" s="103"/>
      <c r="E73" s="104"/>
      <c r="F73" s="104"/>
      <c r="G73" s="104"/>
      <c r="H73" s="104"/>
      <c r="I73" s="104"/>
      <c r="J73" s="104"/>
      <c r="K73" s="104"/>
      <c r="L73" s="104"/>
      <c r="M73" s="94" t="s">
        <v>51</v>
      </c>
    </row>
    <row r="74" spans="2:29" ht="13" x14ac:dyDescent="0.15">
      <c r="C74" s="124" t="s">
        <v>71</v>
      </c>
      <c r="D74" s="103"/>
      <c r="E74" s="104"/>
      <c r="F74" s="104"/>
      <c r="G74" s="104"/>
      <c r="H74" s="104"/>
      <c r="I74" s="104"/>
      <c r="J74" s="104"/>
      <c r="K74" s="104"/>
      <c r="L74" s="104"/>
      <c r="M74" s="104"/>
    </row>
    <row r="75" spans="2:29" ht="13" x14ac:dyDescent="0.15">
      <c r="C75" s="124" t="s">
        <v>72</v>
      </c>
      <c r="D75" s="103"/>
      <c r="E75" s="104"/>
      <c r="F75" s="104"/>
      <c r="G75" s="104"/>
      <c r="H75" s="104"/>
      <c r="I75" s="104"/>
      <c r="J75" s="104"/>
      <c r="K75" s="104"/>
      <c r="L75" s="104"/>
      <c r="M75" s="104"/>
    </row>
    <row r="76" spans="2:29" ht="13" x14ac:dyDescent="0.15">
      <c r="C76" s="124" t="s">
        <v>73</v>
      </c>
      <c r="D76" s="103"/>
      <c r="E76" s="104"/>
      <c r="F76" s="104"/>
      <c r="G76" s="104"/>
      <c r="H76" s="104"/>
      <c r="I76" s="104"/>
      <c r="J76" s="104"/>
      <c r="K76" s="104"/>
      <c r="L76" s="104"/>
      <c r="M76" s="104"/>
    </row>
    <row r="77" spans="2:29" ht="13" x14ac:dyDescent="0.15">
      <c r="C77" s="124" t="s">
        <v>74</v>
      </c>
      <c r="D77" s="103"/>
      <c r="E77" s="104"/>
      <c r="F77" s="104"/>
      <c r="G77" s="104"/>
      <c r="H77" s="104"/>
      <c r="I77" s="104"/>
      <c r="J77" s="104"/>
      <c r="K77" s="104"/>
      <c r="L77" s="104"/>
      <c r="M77" s="104"/>
    </row>
    <row r="78" spans="2:29" ht="23" customHeight="1" x14ac:dyDescent="0.15">
      <c r="C78" s="103"/>
      <c r="D78" s="103"/>
      <c r="E78" s="104"/>
      <c r="F78" s="104"/>
      <c r="G78" s="104"/>
      <c r="H78" s="104"/>
      <c r="I78" s="104"/>
      <c r="J78" s="104"/>
      <c r="K78" s="104"/>
      <c r="L78" s="104"/>
      <c r="M78" s="104"/>
    </row>
    <row r="79" spans="2:29" ht="23" customHeight="1" x14ac:dyDescent="0.15">
      <c r="C79" s="103"/>
      <c r="D79" s="103"/>
      <c r="E79" s="104"/>
      <c r="F79" s="104"/>
      <c r="G79" s="104"/>
      <c r="H79" s="104"/>
      <c r="I79" s="104"/>
      <c r="J79" s="104"/>
      <c r="K79" s="104"/>
      <c r="L79" s="104"/>
      <c r="M79" s="104"/>
    </row>
    <row r="80" spans="2:29" ht="23" customHeight="1" x14ac:dyDescent="0.15">
      <c r="C80" s="103"/>
      <c r="D80" s="103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3:13" ht="23" customHeight="1" x14ac:dyDescent="0.15">
      <c r="C81" s="103"/>
      <c r="D81" s="103"/>
      <c r="E81" s="104"/>
      <c r="F81" s="104"/>
      <c r="G81" s="104"/>
      <c r="H81" s="104"/>
      <c r="I81" s="104"/>
      <c r="J81" s="104"/>
      <c r="K81" s="104"/>
      <c r="L81" s="104"/>
      <c r="M81" s="104"/>
    </row>
    <row r="82" spans="3:13" ht="23" customHeight="1" x14ac:dyDescent="0.15">
      <c r="F82" s="104"/>
      <c r="G82" s="104"/>
      <c r="H82" s="104"/>
      <c r="I82" s="104"/>
      <c r="J82" s="104"/>
      <c r="K82" s="104"/>
      <c r="L82" s="104"/>
      <c r="M82" s="104"/>
    </row>
  </sheetData>
  <sheetProtection sheet="1" insertRows="0"/>
  <mergeCells count="39">
    <mergeCell ref="C55:D55"/>
    <mergeCell ref="C56:D56"/>
    <mergeCell ref="C57:D57"/>
    <mergeCell ref="C47:D47"/>
    <mergeCell ref="C48:D48"/>
    <mergeCell ref="C51:D51"/>
    <mergeCell ref="C52:D52"/>
    <mergeCell ref="C53:D53"/>
    <mergeCell ref="C43:D43"/>
    <mergeCell ref="C44:D44"/>
    <mergeCell ref="C45:D45"/>
    <mergeCell ref="C46:D46"/>
    <mergeCell ref="C54:D54"/>
    <mergeCell ref="C30:D30"/>
    <mergeCell ref="C31:D31"/>
    <mergeCell ref="C32:D32"/>
    <mergeCell ref="C33:D33"/>
    <mergeCell ref="C42:D42"/>
    <mergeCell ref="M6:M7"/>
    <mergeCell ref="D9:M9"/>
    <mergeCell ref="C12:D12"/>
    <mergeCell ref="M15:M16"/>
    <mergeCell ref="C29:D29"/>
    <mergeCell ref="C71:F71"/>
    <mergeCell ref="G15:I15"/>
    <mergeCell ref="C17:M17"/>
    <mergeCell ref="C26:M26"/>
    <mergeCell ref="G39:I39"/>
    <mergeCell ref="M39:M40"/>
    <mergeCell ref="C41:M41"/>
    <mergeCell ref="C50:M50"/>
    <mergeCell ref="C18:D18"/>
    <mergeCell ref="C19:D19"/>
    <mergeCell ref="C20:D20"/>
    <mergeCell ref="C21:D21"/>
    <mergeCell ref="C22:D22"/>
    <mergeCell ref="C23:D23"/>
    <mergeCell ref="C27:D27"/>
    <mergeCell ref="C28:D28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43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G127"/>
  <sheetViews>
    <sheetView topLeftCell="A18" zoomScale="70" zoomScaleNormal="70" zoomScalePageLayoutView="125" workbookViewId="0">
      <selection activeCell="J71" activeCellId="1" sqref="J55 J71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5703125" style="96" customWidth="1"/>
    <col min="4" max="4" width="15.7109375" style="96" customWidth="1"/>
    <col min="5" max="5" width="27.7109375" style="97" customWidth="1"/>
    <col min="6" max="6" width="16.28515625" style="97" customWidth="1"/>
    <col min="7" max="13" width="15.28515625" style="97" customWidth="1"/>
    <col min="14" max="16" width="9.7109375" style="97" customWidth="1"/>
    <col min="17" max="17" width="3.28515625" style="96" customWidth="1"/>
    <col min="18" max="18" width="3.42578125" style="96" customWidth="1"/>
    <col min="19" max="16384" width="10.7109375" style="96"/>
  </cols>
  <sheetData>
    <row r="2" spans="1:33" ht="23" customHeight="1" x14ac:dyDescent="0.15">
      <c r="D2" s="311" t="str">
        <f>_GENERAL!D2</f>
        <v>Área de Presidencia, Hacienda y Modernización</v>
      </c>
    </row>
    <row r="3" spans="1:33" ht="23" customHeight="1" x14ac:dyDescent="0.15">
      <c r="D3" s="311" t="str">
        <f>_GENERAL!D3</f>
        <v>Dirección Insular de Hacienda</v>
      </c>
    </row>
    <row r="4" spans="1:33" ht="23" customHeight="1" thickBot="1" x14ac:dyDescent="0.2">
      <c r="A4" s="96" t="s">
        <v>935</v>
      </c>
    </row>
    <row r="5" spans="1:33" ht="9" customHeight="1" x14ac:dyDescent="0.15">
      <c r="B5" s="98"/>
      <c r="C5" s="99"/>
      <c r="D5" s="99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  <c r="S5" s="406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  <c r="AG5" s="408"/>
    </row>
    <row r="6" spans="1:33" ht="30" customHeight="1" x14ac:dyDescent="0.2">
      <c r="B6" s="102"/>
      <c r="C6" s="66" t="s">
        <v>0</v>
      </c>
      <c r="D6" s="103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362">
        <f>ejercicio</f>
        <v>2020</v>
      </c>
      <c r="Q6" s="105"/>
      <c r="S6" s="409"/>
      <c r="T6" s="411"/>
      <c r="U6" s="410" t="s">
        <v>677</v>
      </c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2"/>
    </row>
    <row r="7" spans="1:33" ht="30" customHeight="1" x14ac:dyDescent="0.2">
      <c r="B7" s="102"/>
      <c r="C7" s="66" t="s">
        <v>1</v>
      </c>
      <c r="D7" s="103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362"/>
      <c r="Q7" s="105"/>
      <c r="S7" s="409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411"/>
      <c r="AF7" s="411"/>
      <c r="AG7" s="412"/>
    </row>
    <row r="8" spans="1:33" ht="30" customHeight="1" x14ac:dyDescent="0.15">
      <c r="B8" s="102"/>
      <c r="C8" s="106"/>
      <c r="D8" s="103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7"/>
      <c r="Q8" s="105"/>
      <c r="S8" s="409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411"/>
      <c r="AF8" s="411"/>
      <c r="AG8" s="412"/>
    </row>
    <row r="9" spans="1:33" s="189" customFormat="1" ht="30" customHeight="1" x14ac:dyDescent="0.2">
      <c r="B9" s="187"/>
      <c r="C9" s="914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376"/>
      <c r="I9" s="1376"/>
      <c r="J9" s="1376"/>
      <c r="K9" s="1376"/>
      <c r="L9" s="1376"/>
      <c r="M9" s="1376"/>
      <c r="N9" s="1376"/>
      <c r="O9" s="1376"/>
      <c r="P9" s="1376"/>
      <c r="Q9" s="188"/>
      <c r="S9" s="409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411"/>
      <c r="AF9" s="411"/>
      <c r="AG9" s="412"/>
    </row>
    <row r="10" spans="1:33" ht="7.25" customHeight="1" x14ac:dyDescent="0.15">
      <c r="B10" s="102"/>
      <c r="C10" s="103"/>
      <c r="D10" s="103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5"/>
      <c r="S10" s="409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2"/>
    </row>
    <row r="11" spans="1:33" s="114" customFormat="1" ht="30" customHeight="1" x14ac:dyDescent="0.2">
      <c r="B11" s="110"/>
      <c r="C11" s="111" t="s">
        <v>781</v>
      </c>
      <c r="D11" s="111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3"/>
      <c r="S11" s="409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411"/>
      <c r="AF11" s="411"/>
      <c r="AG11" s="412"/>
    </row>
    <row r="12" spans="1:33" s="114" customFormat="1" ht="30" customHeight="1" x14ac:dyDescent="0.2">
      <c r="B12" s="110"/>
      <c r="C12" s="1447"/>
      <c r="D12" s="1447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113"/>
      <c r="S12" s="409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2"/>
    </row>
    <row r="13" spans="1:33" s="114" customFormat="1" ht="30" customHeight="1" x14ac:dyDescent="0.2">
      <c r="B13" s="110"/>
      <c r="C13" s="65" t="s">
        <v>432</v>
      </c>
      <c r="D13" s="21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113"/>
      <c r="S13" s="409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11"/>
      <c r="AF13" s="411"/>
      <c r="AG13" s="412"/>
    </row>
    <row r="14" spans="1:33" s="114" customFormat="1" ht="30" customHeight="1" x14ac:dyDescent="0.2">
      <c r="B14" s="110"/>
      <c r="C14" s="21" t="s">
        <v>433</v>
      </c>
      <c r="D14" s="21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113"/>
      <c r="S14" s="409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411"/>
      <c r="AF14" s="411"/>
      <c r="AG14" s="412"/>
    </row>
    <row r="15" spans="1:33" s="114" customFormat="1" ht="30" customHeight="1" x14ac:dyDescent="0.2">
      <c r="B15" s="110"/>
      <c r="C15" s="1461"/>
      <c r="D15" s="1462"/>
      <c r="E15" s="945"/>
      <c r="F15" s="1472" t="s">
        <v>816</v>
      </c>
      <c r="G15" s="1473"/>
      <c r="H15" s="1473"/>
      <c r="I15" s="1473"/>
      <c r="J15" s="1473"/>
      <c r="K15" s="1474"/>
      <c r="L15" s="1481" t="s">
        <v>814</v>
      </c>
      <c r="M15" s="1468"/>
      <c r="N15" s="895"/>
      <c r="O15" s="895"/>
      <c r="P15" s="895"/>
      <c r="Q15" s="113"/>
      <c r="S15" s="409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1"/>
      <c r="AG15" s="412"/>
    </row>
    <row r="16" spans="1:33" s="893" customFormat="1" ht="36" customHeight="1" x14ac:dyDescent="0.2">
      <c r="B16" s="894"/>
      <c r="C16" s="1479" t="s">
        <v>779</v>
      </c>
      <c r="D16" s="1480"/>
      <c r="E16" s="946"/>
      <c r="F16" s="947" t="s">
        <v>813</v>
      </c>
      <c r="G16" s="1465">
        <f>ejercicio-1</f>
        <v>2019</v>
      </c>
      <c r="H16" s="1484"/>
      <c r="I16" s="948" t="s">
        <v>813</v>
      </c>
      <c r="J16" s="1465">
        <f>ejercicio</f>
        <v>2020</v>
      </c>
      <c r="K16" s="1484"/>
      <c r="L16" s="1471" t="s">
        <v>815</v>
      </c>
      <c r="M16" s="1466"/>
      <c r="N16" s="903"/>
      <c r="O16" s="903"/>
      <c r="P16" s="903"/>
      <c r="Q16" s="897"/>
      <c r="S16" s="898"/>
      <c r="T16" s="899"/>
      <c r="U16" s="899"/>
      <c r="V16" s="899"/>
      <c r="W16" s="899"/>
      <c r="X16" s="899"/>
      <c r="Y16" s="899"/>
      <c r="Z16" s="899"/>
      <c r="AA16" s="899"/>
      <c r="AB16" s="899"/>
      <c r="AC16" s="899"/>
      <c r="AD16" s="899"/>
      <c r="AE16" s="899"/>
      <c r="AF16" s="899"/>
      <c r="AG16" s="900"/>
    </row>
    <row r="17" spans="1:33" s="901" customFormat="1" ht="23" customHeight="1" x14ac:dyDescent="0.2">
      <c r="B17" s="902"/>
      <c r="C17" s="1459" t="s">
        <v>780</v>
      </c>
      <c r="D17" s="1460"/>
      <c r="E17" s="921" t="s">
        <v>434</v>
      </c>
      <c r="F17" s="922">
        <f>ejercicio-1</f>
        <v>2019</v>
      </c>
      <c r="G17" s="896" t="s">
        <v>817</v>
      </c>
      <c r="H17" s="929" t="s">
        <v>812</v>
      </c>
      <c r="I17" s="928">
        <f>ejercicio</f>
        <v>2020</v>
      </c>
      <c r="J17" s="896" t="s">
        <v>817</v>
      </c>
      <c r="K17" s="929" t="s">
        <v>812</v>
      </c>
      <c r="L17" s="915">
        <f>ejercicio-1</f>
        <v>2019</v>
      </c>
      <c r="M17" s="896">
        <f>ejercicio</f>
        <v>2020</v>
      </c>
      <c r="N17" s="896" t="s">
        <v>436</v>
      </c>
      <c r="O17" s="896" t="s">
        <v>438</v>
      </c>
      <c r="P17" s="896" t="s">
        <v>437</v>
      </c>
      <c r="Q17" s="904"/>
      <c r="S17" s="898"/>
      <c r="T17" s="899"/>
      <c r="U17" s="899"/>
      <c r="V17" s="899"/>
      <c r="W17" s="899"/>
      <c r="X17" s="899"/>
      <c r="Y17" s="899"/>
      <c r="Z17" s="899"/>
      <c r="AA17" s="899"/>
      <c r="AB17" s="899"/>
      <c r="AC17" s="899"/>
      <c r="AD17" s="899"/>
      <c r="AE17" s="899"/>
      <c r="AF17" s="899"/>
      <c r="AG17" s="900"/>
    </row>
    <row r="18" spans="1:33" s="189" customFormat="1" ht="8" customHeight="1" x14ac:dyDescent="0.2">
      <c r="B18" s="187"/>
      <c r="C18" s="623"/>
      <c r="D18" s="623"/>
      <c r="E18" s="623"/>
      <c r="F18" s="623"/>
      <c r="G18" s="623"/>
      <c r="H18" s="623"/>
      <c r="I18" s="623"/>
      <c r="J18" s="623"/>
      <c r="K18" s="623"/>
      <c r="L18" s="623"/>
      <c r="M18" s="968"/>
      <c r="N18" s="968"/>
      <c r="O18" s="968"/>
      <c r="P18" s="968"/>
      <c r="Q18" s="188"/>
      <c r="S18" s="409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411"/>
      <c r="AF18" s="411"/>
      <c r="AG18" s="412"/>
    </row>
    <row r="19" spans="1:33" s="119" customFormat="1" ht="23" customHeight="1" x14ac:dyDescent="0.2">
      <c r="A19" s="189"/>
      <c r="B19" s="187"/>
      <c r="C19" s="1475" t="s">
        <v>388</v>
      </c>
      <c r="D19" s="1476"/>
      <c r="E19" s="1476"/>
      <c r="F19" s="942">
        <f>G19+H19</f>
        <v>7638155.9699999997</v>
      </c>
      <c r="G19" s="510">
        <v>7622192.6699999999</v>
      </c>
      <c r="H19" s="930">
        <v>15963.3</v>
      </c>
      <c r="I19" s="942">
        <f>+J19+K19</f>
        <v>8315404.0499999998</v>
      </c>
      <c r="J19" s="510">
        <f>G35</f>
        <v>8273466.8499999996</v>
      </c>
      <c r="K19" s="930">
        <f>H35</f>
        <v>41937.200000000004</v>
      </c>
      <c r="L19" s="969"/>
      <c r="M19" s="969"/>
      <c r="N19" s="969"/>
      <c r="O19" s="969"/>
      <c r="P19" s="969"/>
      <c r="Q19" s="117"/>
      <c r="S19" s="409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1"/>
      <c r="AG19" s="412"/>
    </row>
    <row r="20" spans="1:33" s="119" customFormat="1" ht="9" customHeight="1" x14ac:dyDescent="0.2">
      <c r="A20" s="189"/>
      <c r="B20" s="187"/>
      <c r="C20" s="970"/>
      <c r="D20" s="970"/>
      <c r="E20" s="970"/>
      <c r="F20" s="970"/>
      <c r="G20" s="970"/>
      <c r="H20" s="970"/>
      <c r="I20" s="970"/>
      <c r="J20" s="970"/>
      <c r="K20" s="970"/>
      <c r="L20" s="970"/>
      <c r="M20" s="970"/>
      <c r="N20" s="971"/>
      <c r="O20" s="971"/>
      <c r="P20" s="971"/>
      <c r="Q20" s="117"/>
      <c r="S20" s="409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2"/>
    </row>
    <row r="21" spans="1:33" s="119" customFormat="1" ht="23" customHeight="1" x14ac:dyDescent="0.2">
      <c r="A21" s="189"/>
      <c r="B21" s="187"/>
      <c r="C21" s="982" t="s">
        <v>1085</v>
      </c>
      <c r="D21" s="561"/>
      <c r="E21" s="1228" t="s">
        <v>1086</v>
      </c>
      <c r="F21" s="923">
        <v>50000</v>
      </c>
      <c r="G21" s="482">
        <f>50000*0.75</f>
        <v>37500</v>
      </c>
      <c r="H21" s="931">
        <v>12500</v>
      </c>
      <c r="I21" s="888"/>
      <c r="J21" s="888"/>
      <c r="K21" s="937"/>
      <c r="L21" s="888">
        <f>+F21</f>
        <v>50000</v>
      </c>
      <c r="M21" s="888"/>
      <c r="N21" s="837"/>
      <c r="O21" s="837"/>
      <c r="P21" s="838"/>
      <c r="Q21" s="117"/>
      <c r="S21" s="409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2"/>
    </row>
    <row r="22" spans="1:33" s="119" customFormat="1" ht="23" customHeight="1" x14ac:dyDescent="0.15">
      <c r="B22" s="116"/>
      <c r="C22" s="1227" t="s">
        <v>1087</v>
      </c>
      <c r="D22" s="563"/>
      <c r="E22" s="1229" t="s">
        <v>1086</v>
      </c>
      <c r="F22" s="924">
        <v>120000</v>
      </c>
      <c r="G22" s="493">
        <f>120000*0.75</f>
        <v>90000</v>
      </c>
      <c r="H22" s="932">
        <v>30000</v>
      </c>
      <c r="I22" s="889"/>
      <c r="J22" s="889"/>
      <c r="K22" s="938"/>
      <c r="L22" s="889">
        <f>+F22</f>
        <v>120000</v>
      </c>
      <c r="M22" s="889"/>
      <c r="N22" s="839"/>
      <c r="O22" s="839"/>
      <c r="P22" s="840"/>
      <c r="Q22" s="117"/>
      <c r="S22" s="409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1"/>
      <c r="AG22" s="412"/>
    </row>
    <row r="23" spans="1:33" s="119" customFormat="1" ht="23" customHeight="1" x14ac:dyDescent="0.15">
      <c r="B23" s="116"/>
      <c r="C23" s="1227" t="s">
        <v>1078</v>
      </c>
      <c r="D23" s="563"/>
      <c r="E23" s="1229" t="s">
        <v>1086</v>
      </c>
      <c r="F23" s="924">
        <v>330000</v>
      </c>
      <c r="G23" s="493">
        <v>330000</v>
      </c>
      <c r="H23" s="932"/>
      <c r="I23" s="889"/>
      <c r="J23" s="889"/>
      <c r="K23" s="938"/>
      <c r="L23" s="889">
        <f>+F23</f>
        <v>330000</v>
      </c>
      <c r="M23" s="889"/>
      <c r="N23" s="839"/>
      <c r="O23" s="839"/>
      <c r="P23" s="840"/>
      <c r="Q23" s="117"/>
      <c r="S23" s="409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2"/>
    </row>
    <row r="24" spans="1:33" s="119" customFormat="1" ht="23" customHeight="1" x14ac:dyDescent="0.15">
      <c r="B24" s="116"/>
      <c r="C24" s="1227" t="s">
        <v>1088</v>
      </c>
      <c r="D24" s="563"/>
      <c r="E24" s="1229" t="s">
        <v>1086</v>
      </c>
      <c r="F24" s="924">
        <v>243352.5</v>
      </c>
      <c r="G24" s="493">
        <v>243352.5</v>
      </c>
      <c r="H24" s="932"/>
      <c r="I24" s="889">
        <v>243352.5</v>
      </c>
      <c r="J24" s="889">
        <v>243352.5</v>
      </c>
      <c r="K24" s="938"/>
      <c r="L24" s="889">
        <f>+F24</f>
        <v>243352.5</v>
      </c>
      <c r="M24" s="889">
        <v>243352.5</v>
      </c>
      <c r="N24" s="1356">
        <v>1011</v>
      </c>
      <c r="O24" s="1356">
        <v>3331</v>
      </c>
      <c r="P24" s="1357" t="s">
        <v>1069</v>
      </c>
      <c r="Q24" s="117"/>
      <c r="S24" s="409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2"/>
    </row>
    <row r="25" spans="1:33" ht="23" customHeight="1" x14ac:dyDescent="0.15">
      <c r="B25" s="116"/>
      <c r="C25" s="1227" t="s">
        <v>1089</v>
      </c>
      <c r="D25" s="563"/>
      <c r="E25" s="916"/>
      <c r="F25" s="925">
        <v>-43738.71</v>
      </c>
      <c r="G25" s="486">
        <f>-29725.32-14013.39</f>
        <v>-43738.71</v>
      </c>
      <c r="H25" s="933">
        <v>0</v>
      </c>
      <c r="I25" s="890"/>
      <c r="J25" s="890"/>
      <c r="K25" s="939"/>
      <c r="L25" s="890"/>
      <c r="M25" s="890"/>
      <c r="N25" s="841"/>
      <c r="O25" s="841"/>
      <c r="P25" s="842"/>
      <c r="Q25" s="105"/>
      <c r="S25" s="409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2"/>
    </row>
    <row r="26" spans="1:33" ht="23" customHeight="1" x14ac:dyDescent="0.15">
      <c r="B26" s="116"/>
      <c r="C26" s="1227" t="s">
        <v>1066</v>
      </c>
      <c r="D26" s="563"/>
      <c r="E26" s="1252" t="s">
        <v>1086</v>
      </c>
      <c r="F26" s="925"/>
      <c r="G26" s="486"/>
      <c r="H26" s="933"/>
      <c r="I26" s="890">
        <v>30000</v>
      </c>
      <c r="J26" s="890">
        <v>30000</v>
      </c>
      <c r="K26" s="939"/>
      <c r="L26" s="890"/>
      <c r="M26" s="890">
        <v>30000</v>
      </c>
      <c r="N26" s="1356" t="s">
        <v>1098</v>
      </c>
      <c r="O26" s="1356" t="s">
        <v>1067</v>
      </c>
      <c r="P26" s="1357" t="s">
        <v>1069</v>
      </c>
      <c r="Q26" s="105"/>
      <c r="S26" s="409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2"/>
    </row>
    <row r="27" spans="1:33" ht="23" customHeight="1" x14ac:dyDescent="0.15">
      <c r="B27" s="116"/>
      <c r="C27" s="1227"/>
      <c r="D27" s="563"/>
      <c r="E27" s="916"/>
      <c r="F27" s="925"/>
      <c r="G27" s="486"/>
      <c r="H27" s="933"/>
      <c r="I27" s="890"/>
      <c r="J27" s="890"/>
      <c r="K27" s="939"/>
      <c r="L27" s="890"/>
      <c r="M27" s="890"/>
      <c r="N27" s="841"/>
      <c r="O27" s="841"/>
      <c r="P27" s="842"/>
      <c r="Q27" s="105"/>
      <c r="S27" s="409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2"/>
    </row>
    <row r="28" spans="1:33" ht="23" customHeight="1" x14ac:dyDescent="0.15">
      <c r="B28" s="116"/>
      <c r="C28" s="1227"/>
      <c r="D28" s="563"/>
      <c r="E28" s="917"/>
      <c r="F28" s="926"/>
      <c r="G28" s="495"/>
      <c r="H28" s="934"/>
      <c r="I28" s="891"/>
      <c r="J28" s="891"/>
      <c r="K28" s="940"/>
      <c r="L28" s="891"/>
      <c r="M28" s="891"/>
      <c r="N28" s="843"/>
      <c r="O28" s="843"/>
      <c r="P28" s="844"/>
      <c r="Q28" s="105"/>
      <c r="S28" s="409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2"/>
    </row>
    <row r="29" spans="1:33" ht="23" customHeight="1" x14ac:dyDescent="0.15">
      <c r="B29" s="116"/>
      <c r="C29" s="1227"/>
      <c r="D29" s="563"/>
      <c r="E29" s="917"/>
      <c r="F29" s="926"/>
      <c r="G29" s="495"/>
      <c r="H29" s="934"/>
      <c r="I29" s="891"/>
      <c r="J29" s="891"/>
      <c r="K29" s="940"/>
      <c r="L29" s="891"/>
      <c r="M29" s="891"/>
      <c r="N29" s="843"/>
      <c r="O29" s="843"/>
      <c r="P29" s="844"/>
      <c r="Q29" s="105"/>
      <c r="S29" s="409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2"/>
    </row>
    <row r="30" spans="1:33" ht="23" customHeight="1" x14ac:dyDescent="0.15">
      <c r="B30" s="116"/>
      <c r="C30" s="1336"/>
      <c r="D30" s="565"/>
      <c r="E30" s="918"/>
      <c r="F30" s="927"/>
      <c r="G30" s="490"/>
      <c r="H30" s="935"/>
      <c r="I30" s="892"/>
      <c r="J30" s="892"/>
      <c r="K30" s="941"/>
      <c r="L30" s="892"/>
      <c r="M30" s="892"/>
      <c r="N30" s="845"/>
      <c r="O30" s="845"/>
      <c r="P30" s="846"/>
      <c r="Q30" s="105"/>
      <c r="S30" s="409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2"/>
    </row>
    <row r="31" spans="1:33" ht="23" customHeight="1" x14ac:dyDescent="0.15">
      <c r="B31" s="116"/>
      <c r="C31" s="1337"/>
      <c r="D31" s="1338"/>
      <c r="E31" s="1339"/>
      <c r="F31" s="1340"/>
      <c r="G31" s="1341"/>
      <c r="H31" s="1342"/>
      <c r="I31" s="1258"/>
      <c r="J31" s="1258"/>
      <c r="K31" s="1343"/>
      <c r="L31" s="1258"/>
      <c r="M31" s="1258"/>
      <c r="N31" s="1259"/>
      <c r="O31" s="1259"/>
      <c r="P31" s="1260"/>
      <c r="Q31" s="105"/>
      <c r="S31" s="409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2"/>
    </row>
    <row r="32" spans="1:33" ht="23" customHeight="1" thickBot="1" x14ac:dyDescent="0.2">
      <c r="B32" s="116"/>
      <c r="C32" s="972" t="s">
        <v>439</v>
      </c>
      <c r="D32" s="973"/>
      <c r="E32" s="974"/>
      <c r="F32" s="975">
        <f t="shared" ref="F32:M32" si="0">SUM(F21:F30)</f>
        <v>699613.79</v>
      </c>
      <c r="G32" s="674">
        <f t="shared" si="0"/>
        <v>657113.79</v>
      </c>
      <c r="H32" s="976">
        <f t="shared" si="0"/>
        <v>42500</v>
      </c>
      <c r="I32" s="778">
        <f t="shared" si="0"/>
        <v>273352.5</v>
      </c>
      <c r="J32" s="674">
        <f t="shared" si="0"/>
        <v>273352.5</v>
      </c>
      <c r="K32" s="976">
        <f t="shared" si="0"/>
        <v>0</v>
      </c>
      <c r="L32" s="778">
        <f t="shared" si="0"/>
        <v>743352.5</v>
      </c>
      <c r="M32" s="674">
        <f t="shared" si="0"/>
        <v>273352.5</v>
      </c>
      <c r="N32" s="977"/>
      <c r="O32" s="978"/>
      <c r="P32" s="977"/>
      <c r="Q32" s="105"/>
      <c r="S32" s="409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1"/>
      <c r="AG32" s="412"/>
    </row>
    <row r="33" spans="2:33" ht="8" customHeight="1" x14ac:dyDescent="0.2">
      <c r="B33" s="102"/>
      <c r="C33" s="970"/>
      <c r="D33" s="970"/>
      <c r="E33" s="970"/>
      <c r="F33" s="970"/>
      <c r="G33" s="970"/>
      <c r="H33" s="970"/>
      <c r="I33" s="970"/>
      <c r="J33" s="970"/>
      <c r="K33" s="970"/>
      <c r="L33" s="979"/>
      <c r="M33" s="979"/>
      <c r="N33" s="979"/>
      <c r="O33" s="979"/>
      <c r="P33" s="979"/>
      <c r="Q33" s="105"/>
      <c r="S33" s="409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2"/>
    </row>
    <row r="34" spans="2:33" ht="23" customHeight="1" x14ac:dyDescent="0.15">
      <c r="B34" s="116"/>
      <c r="C34" s="1477" t="s">
        <v>440</v>
      </c>
      <c r="D34" s="1478"/>
      <c r="E34" s="1478"/>
      <c r="F34" s="942">
        <f>G34+H34</f>
        <v>-22365.71</v>
      </c>
      <c r="G34" s="920">
        <v>-5839.61</v>
      </c>
      <c r="H34" s="936">
        <v>-16526.099999999999</v>
      </c>
      <c r="I34" s="942">
        <f>+J34+K34</f>
        <v>-18949.310000000001</v>
      </c>
      <c r="J34" s="920">
        <f>-18949.31+4737.33</f>
        <v>-14211.980000000001</v>
      </c>
      <c r="K34" s="936">
        <v>-4737.33</v>
      </c>
      <c r="L34" s="969"/>
      <c r="M34" s="969"/>
      <c r="N34" s="980"/>
      <c r="O34" s="980"/>
      <c r="P34" s="980"/>
      <c r="Q34" s="105"/>
      <c r="S34" s="409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2"/>
    </row>
    <row r="35" spans="2:33" ht="23" customHeight="1" thickBot="1" x14ac:dyDescent="0.2">
      <c r="B35" s="116"/>
      <c r="C35" s="972" t="s">
        <v>441</v>
      </c>
      <c r="D35" s="973"/>
      <c r="E35" s="974"/>
      <c r="F35" s="943">
        <f>G35+H35</f>
        <v>8315404.0499999998</v>
      </c>
      <c r="G35" s="674">
        <f>+G19+G32+G34</f>
        <v>8273466.8499999996</v>
      </c>
      <c r="H35" s="976">
        <f>+H19+H32+H34</f>
        <v>41937.200000000004</v>
      </c>
      <c r="I35" s="944">
        <f>J35+K35</f>
        <v>8569807.2399999984</v>
      </c>
      <c r="J35" s="674">
        <f>J19+J32+SUM(J34:J34)</f>
        <v>8532607.3699999992</v>
      </c>
      <c r="K35" s="976">
        <f>K19+K32+SUM(K34:K34)</f>
        <v>37199.870000000003</v>
      </c>
      <c r="L35" s="981"/>
      <c r="M35" s="981"/>
      <c r="N35" s="980"/>
      <c r="O35" s="980"/>
      <c r="P35" s="980"/>
      <c r="Q35" s="105"/>
      <c r="S35" s="409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2"/>
    </row>
    <row r="36" spans="2:33" ht="23" customHeight="1" x14ac:dyDescent="0.15">
      <c r="B36" s="116"/>
      <c r="C36" s="152"/>
      <c r="D36" s="152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05"/>
      <c r="S36" s="409"/>
      <c r="T36" s="411"/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2"/>
    </row>
    <row r="37" spans="2:33" ht="23" customHeight="1" x14ac:dyDescent="0.15">
      <c r="B37" s="116"/>
      <c r="C37" s="21" t="s">
        <v>701</v>
      </c>
      <c r="D37" s="152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05"/>
      <c r="S37" s="409"/>
      <c r="T37" s="411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2"/>
    </row>
    <row r="38" spans="2:33" ht="36" customHeight="1" x14ac:dyDescent="0.15">
      <c r="B38" s="116"/>
      <c r="C38" s="1461" t="s">
        <v>779</v>
      </c>
      <c r="D38" s="1462"/>
      <c r="E38" s="1467" t="s">
        <v>434</v>
      </c>
      <c r="F38" s="1468"/>
      <c r="G38" s="1457" t="s">
        <v>786</v>
      </c>
      <c r="H38" s="1458"/>
      <c r="I38" s="1457" t="s">
        <v>787</v>
      </c>
      <c r="J38" s="1458"/>
      <c r="K38" s="896"/>
      <c r="L38" s="896"/>
      <c r="M38" s="896"/>
      <c r="N38" s="153"/>
      <c r="O38" s="153"/>
      <c r="P38" s="153"/>
      <c r="Q38" s="105"/>
      <c r="S38" s="409"/>
      <c r="T38" s="411"/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2"/>
    </row>
    <row r="39" spans="2:33" ht="18" x14ac:dyDescent="0.15">
      <c r="B39" s="116"/>
      <c r="C39" s="1459" t="s">
        <v>780</v>
      </c>
      <c r="D39" s="1460"/>
      <c r="E39" s="1482" t="s">
        <v>1008</v>
      </c>
      <c r="F39" s="1483"/>
      <c r="G39" s="896">
        <f>ejercicio-1</f>
        <v>2019</v>
      </c>
      <c r="H39" s="896">
        <f>ejercicio</f>
        <v>2020</v>
      </c>
      <c r="I39" s="896">
        <f>ejercicio-1</f>
        <v>2019</v>
      </c>
      <c r="J39" s="896">
        <f>ejercicio</f>
        <v>2020</v>
      </c>
      <c r="K39" s="896" t="s">
        <v>436</v>
      </c>
      <c r="L39" s="896" t="s">
        <v>438</v>
      </c>
      <c r="M39" s="896" t="s">
        <v>437</v>
      </c>
      <c r="N39" s="153"/>
      <c r="O39" s="153"/>
      <c r="P39" s="153"/>
      <c r="Q39" s="105"/>
      <c r="S39" s="409"/>
      <c r="T39" s="411"/>
      <c r="U39" s="1261"/>
      <c r="V39" s="126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2"/>
    </row>
    <row r="40" spans="2:33" ht="23" customHeight="1" x14ac:dyDescent="0.15">
      <c r="B40" s="116"/>
      <c r="C40" s="982" t="s">
        <v>1058</v>
      </c>
      <c r="D40" s="561"/>
      <c r="E40" s="1252" t="s">
        <v>70</v>
      </c>
      <c r="F40" s="1251"/>
      <c r="G40" s="482">
        <v>200000</v>
      </c>
      <c r="H40" s="515">
        <v>214000</v>
      </c>
      <c r="I40" s="482">
        <v>200000</v>
      </c>
      <c r="J40" s="515">
        <v>214000</v>
      </c>
      <c r="K40" s="1352">
        <v>1011</v>
      </c>
      <c r="L40" s="1352">
        <v>3331</v>
      </c>
      <c r="M40" s="1353">
        <v>44981</v>
      </c>
      <c r="N40" s="919"/>
      <c r="O40" s="919"/>
      <c r="P40" s="919"/>
      <c r="Q40" s="105"/>
      <c r="S40" s="409"/>
      <c r="T40" s="411"/>
      <c r="U40" s="1261"/>
      <c r="V40" s="126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2"/>
    </row>
    <row r="41" spans="2:33" ht="23" customHeight="1" x14ac:dyDescent="0.15">
      <c r="B41" s="116"/>
      <c r="C41" s="1249" t="s">
        <v>1062</v>
      </c>
      <c r="D41" s="1250"/>
      <c r="E41" s="1252" t="s">
        <v>70</v>
      </c>
      <c r="F41" s="1262"/>
      <c r="G41" s="493">
        <v>557175.42000000004</v>
      </c>
      <c r="H41" s="515">
        <v>557175.42000000004</v>
      </c>
      <c r="I41" s="493">
        <v>557175.42000000004</v>
      </c>
      <c r="J41" s="515">
        <v>557175.42000000004</v>
      </c>
      <c r="K41" s="1354">
        <v>1011</v>
      </c>
      <c r="L41" s="1354">
        <v>3331</v>
      </c>
      <c r="M41" s="1355">
        <v>44981</v>
      </c>
      <c r="N41" s="919"/>
      <c r="O41" s="919"/>
      <c r="P41" s="919"/>
      <c r="Q41" s="105"/>
      <c r="S41" s="409"/>
      <c r="T41" s="411"/>
      <c r="U41" s="1261"/>
      <c r="V41" s="126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2"/>
    </row>
    <row r="42" spans="2:33" ht="23" customHeight="1" x14ac:dyDescent="0.15">
      <c r="B42" s="116"/>
      <c r="C42" s="1249" t="s">
        <v>1063</v>
      </c>
      <c r="D42" s="1250"/>
      <c r="E42" s="1252" t="s">
        <v>70</v>
      </c>
      <c r="F42" s="1262"/>
      <c r="G42" s="493">
        <v>0</v>
      </c>
      <c r="H42" s="515">
        <v>144757.76000000001</v>
      </c>
      <c r="I42" s="493">
        <v>0</v>
      </c>
      <c r="J42" s="515">
        <v>144757.76000000001</v>
      </c>
      <c r="K42" s="1354">
        <v>1011</v>
      </c>
      <c r="L42" s="1354">
        <v>3331</v>
      </c>
      <c r="M42" s="1355">
        <v>44981</v>
      </c>
      <c r="N42" s="919"/>
      <c r="O42" s="919"/>
      <c r="P42" s="919"/>
      <c r="Q42" s="105"/>
      <c r="S42" s="409"/>
      <c r="T42" s="411"/>
      <c r="U42" s="1261"/>
      <c r="V42" s="126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2"/>
    </row>
    <row r="43" spans="2:33" ht="23" customHeight="1" x14ac:dyDescent="0.15">
      <c r="B43" s="116"/>
      <c r="C43" s="1227" t="s">
        <v>1059</v>
      </c>
      <c r="D43" s="563"/>
      <c r="E43" s="1252" t="s">
        <v>70</v>
      </c>
      <c r="F43" s="1253"/>
      <c r="G43" s="493">
        <v>91010.64</v>
      </c>
      <c r="H43" s="515">
        <v>91010.64</v>
      </c>
      <c r="I43" s="493">
        <v>91010.64</v>
      </c>
      <c r="J43" s="515">
        <v>91010.64</v>
      </c>
      <c r="K43" s="1354">
        <v>1011</v>
      </c>
      <c r="L43" s="1354">
        <v>3331</v>
      </c>
      <c r="M43" s="1355">
        <v>44981</v>
      </c>
      <c r="N43" s="919"/>
      <c r="O43" s="919"/>
      <c r="P43" s="919"/>
      <c r="Q43" s="105"/>
      <c r="S43" s="409"/>
      <c r="T43" s="411"/>
      <c r="U43" s="1261"/>
      <c r="V43" s="126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2"/>
    </row>
    <row r="44" spans="2:33" ht="23" customHeight="1" x14ac:dyDescent="0.15">
      <c r="B44" s="116"/>
      <c r="C44" s="1227" t="s">
        <v>1060</v>
      </c>
      <c r="D44" s="563"/>
      <c r="E44" s="1229" t="s">
        <v>70</v>
      </c>
      <c r="F44" s="1253"/>
      <c r="G44" s="1257">
        <v>250000</v>
      </c>
      <c r="H44" s="515">
        <v>250000</v>
      </c>
      <c r="I44" s="1257">
        <v>250000</v>
      </c>
      <c r="J44" s="515">
        <v>250000</v>
      </c>
      <c r="K44" s="1356">
        <v>1011</v>
      </c>
      <c r="L44" s="1356">
        <v>3331</v>
      </c>
      <c r="M44" s="1357">
        <v>44981</v>
      </c>
      <c r="N44" s="919"/>
      <c r="O44" s="919"/>
      <c r="P44" s="919"/>
      <c r="Q44" s="105"/>
      <c r="S44" s="409"/>
      <c r="T44" s="411"/>
      <c r="U44" s="1261"/>
      <c r="V44" s="126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2"/>
    </row>
    <row r="45" spans="2:33" ht="23" customHeight="1" x14ac:dyDescent="0.15">
      <c r="B45" s="116"/>
      <c r="C45" s="1227" t="s">
        <v>1061</v>
      </c>
      <c r="D45" s="563"/>
      <c r="E45" s="1252" t="s">
        <v>70</v>
      </c>
      <c r="F45" s="1254"/>
      <c r="G45" s="495">
        <v>55000</v>
      </c>
      <c r="H45" s="515">
        <v>55000</v>
      </c>
      <c r="I45" s="495">
        <v>55000</v>
      </c>
      <c r="J45" s="515">
        <v>55000</v>
      </c>
      <c r="K45" s="1356">
        <v>1011</v>
      </c>
      <c r="L45" s="1356">
        <v>3331</v>
      </c>
      <c r="M45" s="1357">
        <v>44981</v>
      </c>
      <c r="N45" s="919"/>
      <c r="O45" s="919"/>
      <c r="P45" s="919"/>
      <c r="Q45" s="105"/>
      <c r="S45" s="409"/>
      <c r="T45" s="411"/>
      <c r="U45" s="1261"/>
      <c r="V45" s="126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2"/>
    </row>
    <row r="46" spans="2:33" ht="23" customHeight="1" x14ac:dyDescent="0.15">
      <c r="B46" s="116"/>
      <c r="C46" s="1361"/>
      <c r="D46" s="563"/>
      <c r="E46" s="1252"/>
      <c r="F46" s="1254"/>
      <c r="G46" s="495"/>
      <c r="H46" s="515"/>
      <c r="I46" s="495"/>
      <c r="J46" s="515"/>
      <c r="K46" s="1356"/>
      <c r="L46" s="1356"/>
      <c r="M46" s="1357"/>
      <c r="N46" s="919"/>
      <c r="O46" s="919"/>
      <c r="P46" s="919"/>
      <c r="Q46" s="105"/>
      <c r="S46" s="409"/>
      <c r="T46" s="411"/>
      <c r="U46" s="1261"/>
      <c r="V46" s="126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2"/>
    </row>
    <row r="47" spans="2:33" ht="29" customHeight="1" x14ac:dyDescent="0.15">
      <c r="B47" s="116"/>
      <c r="C47" s="1227" t="s">
        <v>1064</v>
      </c>
      <c r="D47" s="563"/>
      <c r="E47" s="1252" t="s">
        <v>70</v>
      </c>
      <c r="F47" s="1254"/>
      <c r="G47" s="495">
        <v>138999</v>
      </c>
      <c r="H47" s="515">
        <v>138999</v>
      </c>
      <c r="I47" s="495">
        <v>138999</v>
      </c>
      <c r="J47" s="515">
        <v>138999</v>
      </c>
      <c r="K47" s="1356" t="s">
        <v>1099</v>
      </c>
      <c r="L47" s="1356" t="s">
        <v>1068</v>
      </c>
      <c r="M47" s="1357" t="s">
        <v>1070</v>
      </c>
      <c r="N47" s="919"/>
      <c r="O47" s="919"/>
      <c r="P47" s="919"/>
      <c r="Q47" s="105"/>
      <c r="S47" s="409"/>
      <c r="T47" s="411"/>
      <c r="U47" s="1261"/>
      <c r="V47" s="126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2"/>
    </row>
    <row r="48" spans="2:33" ht="29" customHeight="1" x14ac:dyDescent="0.15">
      <c r="B48" s="116"/>
      <c r="C48" s="1347" t="s">
        <v>1075</v>
      </c>
      <c r="D48" s="1348"/>
      <c r="E48" s="1349" t="s">
        <v>70</v>
      </c>
      <c r="F48" s="1350"/>
      <c r="G48" s="495">
        <v>-50000</v>
      </c>
      <c r="H48" s="515"/>
      <c r="I48" s="495">
        <v>-50000</v>
      </c>
      <c r="J48" s="515"/>
      <c r="K48" s="1356"/>
      <c r="L48" s="1356"/>
      <c r="M48" s="1357"/>
      <c r="N48" s="919"/>
      <c r="O48" s="919"/>
      <c r="P48" s="919"/>
      <c r="Q48" s="105"/>
      <c r="S48" s="409"/>
      <c r="T48" s="411"/>
      <c r="U48" s="1261"/>
      <c r="V48" s="126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2"/>
    </row>
    <row r="49" spans="2:33" ht="29" customHeight="1" x14ac:dyDescent="0.15">
      <c r="B49" s="116"/>
      <c r="C49" s="1347" t="s">
        <v>1074</v>
      </c>
      <c r="D49" s="1348"/>
      <c r="E49" s="1349" t="s">
        <v>70</v>
      </c>
      <c r="F49" s="1350"/>
      <c r="G49" s="495">
        <v>300000</v>
      </c>
      <c r="H49" s="515"/>
      <c r="I49" s="495">
        <v>0</v>
      </c>
      <c r="J49" s="515"/>
      <c r="K49" s="1356"/>
      <c r="L49" s="1356"/>
      <c r="M49" s="1357"/>
      <c r="N49" s="919"/>
      <c r="O49" s="919"/>
      <c r="P49" s="919"/>
      <c r="Q49" s="105"/>
      <c r="S49" s="409"/>
      <c r="T49" s="411"/>
      <c r="U49" s="1261"/>
      <c r="V49" s="126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2"/>
    </row>
    <row r="50" spans="2:33" ht="29" customHeight="1" x14ac:dyDescent="0.15">
      <c r="B50" s="116"/>
      <c r="C50" s="1347" t="s">
        <v>1074</v>
      </c>
      <c r="D50" s="1348"/>
      <c r="E50" s="1349" t="s">
        <v>70</v>
      </c>
      <c r="F50" s="1350"/>
      <c r="G50" s="495">
        <v>300000</v>
      </c>
      <c r="H50" s="515"/>
      <c r="I50" s="495">
        <v>300000</v>
      </c>
      <c r="J50" s="515"/>
      <c r="K50" s="1356"/>
      <c r="L50" s="1356"/>
      <c r="M50" s="1357"/>
      <c r="N50" s="919"/>
      <c r="O50" s="919"/>
      <c r="P50" s="919"/>
      <c r="Q50" s="105"/>
      <c r="S50" s="409"/>
      <c r="T50" s="411"/>
      <c r="U50" s="1261"/>
      <c r="V50" s="126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2"/>
    </row>
    <row r="51" spans="2:33" ht="29" customHeight="1" x14ac:dyDescent="0.15">
      <c r="B51" s="116"/>
      <c r="C51" s="1347" t="s">
        <v>1084</v>
      </c>
      <c r="D51" s="1348"/>
      <c r="E51" s="1349" t="s">
        <v>70</v>
      </c>
      <c r="F51" s="1350"/>
      <c r="G51" s="495">
        <v>290000</v>
      </c>
      <c r="H51" s="515"/>
      <c r="I51" s="495">
        <v>290000</v>
      </c>
      <c r="J51" s="515"/>
      <c r="K51" s="1356"/>
      <c r="L51" s="1356"/>
      <c r="M51" s="1357"/>
      <c r="N51" s="919"/>
      <c r="O51" s="919"/>
      <c r="P51" s="919"/>
      <c r="Q51" s="105"/>
      <c r="S51" s="409"/>
      <c r="T51" s="411"/>
      <c r="U51" s="1261"/>
      <c r="V51" s="126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2"/>
    </row>
    <row r="52" spans="2:33" ht="29" customHeight="1" x14ac:dyDescent="0.15">
      <c r="B52" s="116"/>
      <c r="C52" s="1347" t="s">
        <v>1065</v>
      </c>
      <c r="D52" s="1348"/>
      <c r="E52" s="1349" t="s">
        <v>70</v>
      </c>
      <c r="F52" s="1350"/>
      <c r="G52" s="495">
        <v>77940.929999999993</v>
      </c>
      <c r="H52" s="515">
        <v>77940.929999999993</v>
      </c>
      <c r="I52" s="495">
        <v>77940.929999999993</v>
      </c>
      <c r="J52" s="515">
        <v>77940.929999999993</v>
      </c>
      <c r="K52" s="1356" t="s">
        <v>1100</v>
      </c>
      <c r="L52" s="1356">
        <v>3302</v>
      </c>
      <c r="M52" s="1357">
        <v>44981</v>
      </c>
      <c r="N52" s="919"/>
      <c r="O52" s="919"/>
      <c r="P52" s="919"/>
      <c r="Q52" s="105"/>
      <c r="S52" s="409"/>
      <c r="T52" s="411"/>
      <c r="U52" s="1261"/>
      <c r="V52" s="126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2"/>
    </row>
    <row r="53" spans="2:33" ht="23" customHeight="1" x14ac:dyDescent="0.15">
      <c r="B53" s="116"/>
      <c r="C53" s="1336"/>
      <c r="D53" s="565"/>
      <c r="E53" s="1256"/>
      <c r="F53" s="1255"/>
      <c r="G53" s="490"/>
      <c r="H53" s="516"/>
      <c r="I53" s="490"/>
      <c r="J53" s="516"/>
      <c r="K53" s="1356"/>
      <c r="L53" s="1356"/>
      <c r="M53" s="1357"/>
      <c r="N53" s="919"/>
      <c r="O53" s="919"/>
      <c r="P53" s="919"/>
      <c r="Q53" s="105"/>
      <c r="S53" s="409"/>
      <c r="T53" s="411"/>
      <c r="U53" s="1261"/>
      <c r="V53" s="126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2"/>
    </row>
    <row r="54" spans="2:33" ht="23" customHeight="1" x14ac:dyDescent="0.15">
      <c r="B54" s="116"/>
      <c r="C54" s="1337"/>
      <c r="D54" s="1338"/>
      <c r="E54" s="1344"/>
      <c r="F54" s="1345"/>
      <c r="G54" s="1341"/>
      <c r="H54" s="1346"/>
      <c r="I54" s="1258"/>
      <c r="J54" s="1258"/>
      <c r="K54" s="1358"/>
      <c r="L54" s="1358"/>
      <c r="M54" s="1359"/>
      <c r="N54" s="919"/>
      <c r="O54" s="919"/>
      <c r="P54" s="919"/>
      <c r="Q54" s="105"/>
      <c r="S54" s="409"/>
      <c r="T54" s="411"/>
      <c r="U54" s="1261"/>
      <c r="V54" s="126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2"/>
    </row>
    <row r="55" spans="2:33" ht="23" customHeight="1" thickBot="1" x14ac:dyDescent="0.2">
      <c r="B55" s="116"/>
      <c r="C55" s="1450" t="s">
        <v>439</v>
      </c>
      <c r="D55" s="1451"/>
      <c r="E55" s="1451"/>
      <c r="F55" s="1452"/>
      <c r="G55" s="175">
        <f>SUM(G40:G53)</f>
        <v>2210125.9900000002</v>
      </c>
      <c r="H55" s="175">
        <f>SUM(H40:H53)</f>
        <v>1528883.75</v>
      </c>
      <c r="I55" s="175">
        <f>SUM(I40:I53)</f>
        <v>1910125.99</v>
      </c>
      <c r="J55" s="175">
        <f>SUM(J40:J53)</f>
        <v>1528883.75</v>
      </c>
      <c r="K55" s="215"/>
      <c r="L55" s="153"/>
      <c r="M55" s="153"/>
      <c r="N55" s="153"/>
      <c r="O55" s="153"/>
      <c r="P55" s="153"/>
      <c r="Q55" s="105"/>
      <c r="S55" s="409"/>
      <c r="T55" s="411"/>
      <c r="U55" s="1261"/>
      <c r="V55" s="126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2"/>
    </row>
    <row r="56" spans="2:33" ht="23" customHeight="1" x14ac:dyDescent="0.15">
      <c r="B56" s="116"/>
      <c r="C56" s="782"/>
      <c r="D56" s="782"/>
      <c r="E56" s="782"/>
      <c r="F56" s="1263" t="s">
        <v>1011</v>
      </c>
      <c r="G56" s="217">
        <f>SUMIF(E40:E53,"Cabildo Insular de Tenerife",G40:G53)</f>
        <v>2210125.9900000002</v>
      </c>
      <c r="H56" s="217">
        <f>SUMIF(E40:E53,"Cabildo Insular de Tenerife",H40:H53)</f>
        <v>1528883.75</v>
      </c>
      <c r="I56" s="217">
        <f>SUMIF(E40:E53,"Cabildo Insular de Tenerife",I40:I53)</f>
        <v>1910125.99</v>
      </c>
      <c r="J56" s="217">
        <f>SUMIF(E40:E53,"Cabildo Insular de Tenerife",J40:J53)</f>
        <v>1528883.75</v>
      </c>
      <c r="K56" s="153"/>
      <c r="L56" s="153"/>
      <c r="M56" s="153"/>
      <c r="N56" s="153"/>
      <c r="O56" s="153"/>
      <c r="P56" s="153"/>
      <c r="Q56" s="105"/>
      <c r="S56" s="409"/>
      <c r="T56" s="411"/>
      <c r="U56" s="1261"/>
      <c r="V56" s="126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2"/>
    </row>
    <row r="57" spans="2:33" ht="23" customHeight="1" x14ac:dyDescent="0.15">
      <c r="B57" s="116"/>
      <c r="C57" s="216"/>
      <c r="D57" s="216"/>
      <c r="E57" s="217"/>
      <c r="F57" s="217"/>
      <c r="G57" s="218"/>
      <c r="H57" s="218"/>
      <c r="I57" s="218"/>
      <c r="J57" s="218"/>
      <c r="K57" s="217"/>
      <c r="L57" s="217"/>
      <c r="M57" s="219"/>
      <c r="N57" s="219"/>
      <c r="O57" s="219"/>
      <c r="P57" s="219"/>
      <c r="Q57" s="105"/>
      <c r="S57" s="409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2"/>
    </row>
    <row r="58" spans="2:33" s="114" customFormat="1" ht="30" customHeight="1" x14ac:dyDescent="0.2">
      <c r="B58" s="110"/>
      <c r="C58" s="65" t="s">
        <v>702</v>
      </c>
      <c r="D58" s="21"/>
      <c r="E58" s="95"/>
      <c r="F58" s="95"/>
      <c r="G58" s="95"/>
      <c r="H58" s="95"/>
      <c r="I58" s="95"/>
      <c r="J58" s="95"/>
      <c r="K58" s="95"/>
      <c r="L58" s="95"/>
      <c r="M58" s="95"/>
      <c r="N58" s="219"/>
      <c r="O58" s="219"/>
      <c r="P58" s="219"/>
      <c r="Q58" s="113"/>
      <c r="S58" s="409"/>
      <c r="T58" s="411"/>
      <c r="U58" s="411"/>
      <c r="V58" s="411"/>
      <c r="W58" s="411"/>
      <c r="X58" s="411"/>
      <c r="Y58" s="411"/>
      <c r="Z58" s="411"/>
      <c r="AA58" s="411"/>
      <c r="AB58" s="411"/>
      <c r="AC58" s="411"/>
      <c r="AD58" s="411"/>
      <c r="AE58" s="411"/>
      <c r="AF58" s="411"/>
      <c r="AG58" s="412"/>
    </row>
    <row r="59" spans="2:33" s="114" customFormat="1" ht="30" customHeight="1" x14ac:dyDescent="0.2">
      <c r="B59" s="110"/>
      <c r="C59" s="1461" t="s">
        <v>779</v>
      </c>
      <c r="D59" s="1462"/>
      <c r="E59" s="1467"/>
      <c r="F59" s="1468"/>
      <c r="G59" s="1457" t="s">
        <v>788</v>
      </c>
      <c r="H59" s="1458"/>
      <c r="I59" s="1457" t="s">
        <v>789</v>
      </c>
      <c r="J59" s="1458"/>
      <c r="K59" s="896"/>
      <c r="L59" s="896"/>
      <c r="M59" s="896"/>
      <c r="N59" s="219"/>
      <c r="O59" s="219"/>
      <c r="P59" s="219"/>
      <c r="Q59" s="113"/>
      <c r="S59" s="409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2"/>
    </row>
    <row r="60" spans="2:33" ht="23" customHeight="1" x14ac:dyDescent="0.15">
      <c r="B60" s="116"/>
      <c r="C60" s="1459" t="s">
        <v>780</v>
      </c>
      <c r="D60" s="1460"/>
      <c r="E60" s="1465" t="s">
        <v>434</v>
      </c>
      <c r="F60" s="1466"/>
      <c r="G60" s="896">
        <f>ejercicio-1</f>
        <v>2019</v>
      </c>
      <c r="H60" s="896">
        <f>ejercicio</f>
        <v>2020</v>
      </c>
      <c r="I60" s="896">
        <f>ejercicio-1</f>
        <v>2019</v>
      </c>
      <c r="J60" s="896">
        <f>ejercicio</f>
        <v>2020</v>
      </c>
      <c r="K60" s="896" t="s">
        <v>436</v>
      </c>
      <c r="L60" s="896" t="s">
        <v>438</v>
      </c>
      <c r="M60" s="896" t="s">
        <v>437</v>
      </c>
      <c r="N60" s="219"/>
      <c r="O60" s="219"/>
      <c r="P60" s="219"/>
      <c r="Q60" s="105"/>
      <c r="S60" s="409"/>
      <c r="T60" s="411"/>
      <c r="U60" s="411"/>
      <c r="V60" s="411"/>
      <c r="W60" s="411"/>
      <c r="X60" s="411"/>
      <c r="Y60" s="411"/>
      <c r="Z60" s="411"/>
      <c r="AA60" s="411"/>
      <c r="AB60" s="411"/>
      <c r="AC60" s="411"/>
      <c r="AD60" s="411"/>
      <c r="AE60" s="411"/>
      <c r="AF60" s="411"/>
      <c r="AG60" s="412"/>
    </row>
    <row r="61" spans="2:33" ht="23" customHeight="1" x14ac:dyDescent="0.15">
      <c r="B61" s="116"/>
      <c r="C61" s="982" t="s">
        <v>1057</v>
      </c>
      <c r="D61" s="561"/>
      <c r="E61" s="1463"/>
      <c r="F61" s="1464"/>
      <c r="G61" s="482">
        <v>1398851.15</v>
      </c>
      <c r="H61" s="511">
        <f>1380732.18+52428.25</f>
        <v>1433160.43</v>
      </c>
      <c r="I61" s="888">
        <v>1398851.15</v>
      </c>
      <c r="J61" s="888">
        <v>1433160.43</v>
      </c>
      <c r="K61" s="837"/>
      <c r="L61" s="837"/>
      <c r="M61" s="838"/>
      <c r="N61" s="219"/>
      <c r="O61" s="219"/>
      <c r="P61" s="219"/>
      <c r="Q61" s="105"/>
      <c r="S61" s="409"/>
      <c r="T61" s="411"/>
      <c r="U61" s="411"/>
      <c r="V61" s="411"/>
      <c r="W61" s="411"/>
      <c r="X61" s="411"/>
      <c r="Y61" s="411"/>
      <c r="Z61" s="411"/>
      <c r="AA61" s="411"/>
      <c r="AB61" s="411"/>
      <c r="AC61" s="411"/>
      <c r="AD61" s="411"/>
      <c r="AE61" s="411"/>
      <c r="AF61" s="411"/>
      <c r="AG61" s="412"/>
    </row>
    <row r="62" spans="2:33" ht="23" customHeight="1" x14ac:dyDescent="0.15">
      <c r="B62" s="116"/>
      <c r="C62" s="562"/>
      <c r="D62" s="563"/>
      <c r="E62" s="1453"/>
      <c r="F62" s="1454"/>
      <c r="G62" s="493"/>
      <c r="H62" s="513"/>
      <c r="I62" s="889"/>
      <c r="J62" s="889"/>
      <c r="K62" s="839"/>
      <c r="L62" s="839"/>
      <c r="M62" s="840"/>
      <c r="N62" s="219"/>
      <c r="O62" s="219"/>
      <c r="P62" s="219"/>
      <c r="Q62" s="105"/>
      <c r="S62" s="409"/>
      <c r="T62" s="411"/>
      <c r="U62" s="411"/>
      <c r="V62" s="411"/>
      <c r="W62" s="411"/>
      <c r="X62" s="411"/>
      <c r="Y62" s="411"/>
      <c r="Z62" s="411"/>
      <c r="AA62" s="411"/>
      <c r="AB62" s="411"/>
      <c r="AC62" s="411"/>
      <c r="AD62" s="411"/>
      <c r="AE62" s="411"/>
      <c r="AF62" s="411"/>
      <c r="AG62" s="412"/>
    </row>
    <row r="63" spans="2:33" ht="23" customHeight="1" x14ac:dyDescent="0.15">
      <c r="B63" s="116"/>
      <c r="C63" s="562"/>
      <c r="D63" s="563"/>
      <c r="E63" s="1469"/>
      <c r="F63" s="1470"/>
      <c r="G63" s="493"/>
      <c r="H63" s="513"/>
      <c r="I63" s="889"/>
      <c r="J63" s="889"/>
      <c r="K63" s="839"/>
      <c r="L63" s="839"/>
      <c r="M63" s="840"/>
      <c r="N63" s="919"/>
      <c r="O63" s="919"/>
      <c r="P63" s="919"/>
      <c r="Q63" s="105"/>
      <c r="S63" s="409"/>
      <c r="T63" s="411"/>
      <c r="U63" s="411"/>
      <c r="V63" s="411"/>
      <c r="W63" s="411"/>
      <c r="X63" s="411"/>
      <c r="Y63" s="411"/>
      <c r="Z63" s="411"/>
      <c r="AA63" s="411"/>
      <c r="AB63" s="411"/>
      <c r="AC63" s="411"/>
      <c r="AD63" s="411"/>
      <c r="AE63" s="411"/>
      <c r="AF63" s="411"/>
      <c r="AG63" s="412"/>
    </row>
    <row r="64" spans="2:33" ht="23" customHeight="1" x14ac:dyDescent="0.15">
      <c r="B64" s="116"/>
      <c r="C64" s="562"/>
      <c r="D64" s="563"/>
      <c r="E64" s="1469"/>
      <c r="F64" s="1470"/>
      <c r="G64" s="493"/>
      <c r="H64" s="513"/>
      <c r="I64" s="889"/>
      <c r="J64" s="889"/>
      <c r="K64" s="839"/>
      <c r="L64" s="839"/>
      <c r="M64" s="840"/>
      <c r="N64" s="919"/>
      <c r="O64" s="919"/>
      <c r="P64" s="919"/>
      <c r="Q64" s="105"/>
      <c r="S64" s="409"/>
      <c r="T64" s="411"/>
      <c r="U64" s="411"/>
      <c r="V64" s="411"/>
      <c r="W64" s="411"/>
      <c r="X64" s="411"/>
      <c r="Y64" s="411"/>
      <c r="Z64" s="411"/>
      <c r="AA64" s="411"/>
      <c r="AB64" s="411"/>
      <c r="AC64" s="411"/>
      <c r="AD64" s="411"/>
      <c r="AE64" s="411"/>
      <c r="AF64" s="411"/>
      <c r="AG64" s="412"/>
    </row>
    <row r="65" spans="2:33" ht="23" customHeight="1" x14ac:dyDescent="0.15">
      <c r="B65" s="116"/>
      <c r="C65" s="562"/>
      <c r="D65" s="563"/>
      <c r="E65" s="1469"/>
      <c r="F65" s="1470"/>
      <c r="G65" s="486"/>
      <c r="H65" s="514"/>
      <c r="I65" s="890"/>
      <c r="J65" s="890"/>
      <c r="K65" s="841"/>
      <c r="L65" s="841"/>
      <c r="M65" s="842"/>
      <c r="N65" s="919"/>
      <c r="O65" s="919"/>
      <c r="P65" s="919"/>
      <c r="Q65" s="105"/>
      <c r="S65" s="409"/>
      <c r="T65" s="411"/>
      <c r="U65" s="411"/>
      <c r="V65" s="411"/>
      <c r="W65" s="411"/>
      <c r="X65" s="411"/>
      <c r="Y65" s="411"/>
      <c r="Z65" s="411"/>
      <c r="AA65" s="411"/>
      <c r="AB65" s="411"/>
      <c r="AC65" s="411"/>
      <c r="AD65" s="411"/>
      <c r="AE65" s="411"/>
      <c r="AF65" s="411"/>
      <c r="AG65" s="412"/>
    </row>
    <row r="66" spans="2:33" ht="23" customHeight="1" x14ac:dyDescent="0.15">
      <c r="B66" s="116"/>
      <c r="C66" s="562"/>
      <c r="D66" s="563"/>
      <c r="E66" s="1469"/>
      <c r="F66" s="1470"/>
      <c r="G66" s="486"/>
      <c r="H66" s="514"/>
      <c r="I66" s="890"/>
      <c r="J66" s="890"/>
      <c r="K66" s="841"/>
      <c r="L66" s="841"/>
      <c r="M66" s="842"/>
      <c r="N66" s="919"/>
      <c r="O66" s="919"/>
      <c r="P66" s="919"/>
      <c r="Q66" s="105"/>
      <c r="S66" s="409"/>
      <c r="T66" s="411"/>
      <c r="U66" s="411"/>
      <c r="V66" s="411"/>
      <c r="W66" s="411"/>
      <c r="X66" s="411"/>
      <c r="Y66" s="411"/>
      <c r="Z66" s="411"/>
      <c r="AA66" s="411"/>
      <c r="AB66" s="411"/>
      <c r="AC66" s="411"/>
      <c r="AD66" s="411"/>
      <c r="AE66" s="411"/>
      <c r="AF66" s="411"/>
      <c r="AG66" s="412"/>
    </row>
    <row r="67" spans="2:33" ht="23" customHeight="1" x14ac:dyDescent="0.15">
      <c r="B67" s="116"/>
      <c r="C67" s="562"/>
      <c r="D67" s="563"/>
      <c r="E67" s="1453"/>
      <c r="F67" s="1454"/>
      <c r="G67" s="486"/>
      <c r="H67" s="514"/>
      <c r="I67" s="890"/>
      <c r="J67" s="890"/>
      <c r="K67" s="841"/>
      <c r="L67" s="841"/>
      <c r="M67" s="842"/>
      <c r="N67" s="919"/>
      <c r="O67" s="919"/>
      <c r="P67" s="919"/>
      <c r="Q67" s="105"/>
      <c r="S67" s="409"/>
      <c r="T67" s="411"/>
      <c r="U67" s="411"/>
      <c r="V67" s="411"/>
      <c r="W67" s="411"/>
      <c r="X67" s="411"/>
      <c r="Y67" s="411"/>
      <c r="Z67" s="411"/>
      <c r="AA67" s="411"/>
      <c r="AB67" s="411"/>
      <c r="AC67" s="411"/>
      <c r="AD67" s="411"/>
      <c r="AE67" s="411"/>
      <c r="AF67" s="411"/>
      <c r="AG67" s="412"/>
    </row>
    <row r="68" spans="2:33" ht="23" customHeight="1" x14ac:dyDescent="0.15">
      <c r="B68" s="116"/>
      <c r="C68" s="562"/>
      <c r="D68" s="563"/>
      <c r="E68" s="1453"/>
      <c r="F68" s="1454"/>
      <c r="G68" s="495"/>
      <c r="H68" s="515"/>
      <c r="I68" s="891"/>
      <c r="J68" s="891"/>
      <c r="K68" s="843"/>
      <c r="L68" s="843"/>
      <c r="M68" s="844"/>
      <c r="N68" s="919"/>
      <c r="O68" s="919"/>
      <c r="P68" s="919"/>
      <c r="Q68" s="105"/>
      <c r="S68" s="409"/>
      <c r="T68" s="411"/>
      <c r="U68" s="411"/>
      <c r="V68" s="411"/>
      <c r="W68" s="411"/>
      <c r="X68" s="411"/>
      <c r="Y68" s="411"/>
      <c r="Z68" s="411"/>
      <c r="AA68" s="411"/>
      <c r="AB68" s="411"/>
      <c r="AC68" s="411"/>
      <c r="AD68" s="411"/>
      <c r="AE68" s="411"/>
      <c r="AF68" s="411"/>
      <c r="AG68" s="412"/>
    </row>
    <row r="69" spans="2:33" ht="23" customHeight="1" x14ac:dyDescent="0.15">
      <c r="B69" s="116"/>
      <c r="C69" s="562"/>
      <c r="D69" s="563"/>
      <c r="E69" s="1453"/>
      <c r="F69" s="1454"/>
      <c r="G69" s="495"/>
      <c r="H69" s="515"/>
      <c r="I69" s="891"/>
      <c r="J69" s="891"/>
      <c r="K69" s="843"/>
      <c r="L69" s="843"/>
      <c r="M69" s="844"/>
      <c r="N69" s="919"/>
      <c r="O69" s="919"/>
      <c r="P69" s="919"/>
      <c r="Q69" s="105"/>
      <c r="S69" s="409"/>
      <c r="T69" s="411"/>
      <c r="U69" s="411"/>
      <c r="V69" s="411"/>
      <c r="W69" s="411"/>
      <c r="X69" s="411"/>
      <c r="Y69" s="411"/>
      <c r="Z69" s="411"/>
      <c r="AA69" s="411"/>
      <c r="AB69" s="411"/>
      <c r="AC69" s="411"/>
      <c r="AD69" s="411"/>
      <c r="AE69" s="411"/>
      <c r="AF69" s="411"/>
      <c r="AG69" s="412"/>
    </row>
    <row r="70" spans="2:33" ht="23" customHeight="1" x14ac:dyDescent="0.15">
      <c r="B70" s="116"/>
      <c r="C70" s="564"/>
      <c r="D70" s="565"/>
      <c r="E70" s="1455"/>
      <c r="F70" s="1456"/>
      <c r="G70" s="490"/>
      <c r="H70" s="516"/>
      <c r="I70" s="892"/>
      <c r="J70" s="892"/>
      <c r="K70" s="845"/>
      <c r="L70" s="845"/>
      <c r="M70" s="846"/>
      <c r="N70" s="919"/>
      <c r="O70" s="919"/>
      <c r="P70" s="919"/>
      <c r="Q70" s="105"/>
      <c r="S70" s="409"/>
      <c r="T70" s="411"/>
      <c r="U70" s="411"/>
      <c r="V70" s="411"/>
      <c r="W70" s="411"/>
      <c r="X70" s="411"/>
      <c r="Y70" s="411"/>
      <c r="Z70" s="411"/>
      <c r="AA70" s="411"/>
      <c r="AB70" s="411"/>
      <c r="AC70" s="411"/>
      <c r="AD70" s="411"/>
      <c r="AE70" s="411"/>
      <c r="AF70" s="411"/>
      <c r="AG70" s="412"/>
    </row>
    <row r="71" spans="2:33" ht="23" customHeight="1" thickBot="1" x14ac:dyDescent="0.2">
      <c r="B71" s="116"/>
      <c r="C71" s="1450" t="s">
        <v>439</v>
      </c>
      <c r="D71" s="1451"/>
      <c r="E71" s="1451"/>
      <c r="F71" s="1452"/>
      <c r="G71" s="175">
        <f>SUM(G61:G70)</f>
        <v>1398851.15</v>
      </c>
      <c r="H71" s="175">
        <f>SUM(H61:H70)</f>
        <v>1433160.43</v>
      </c>
      <c r="I71" s="175">
        <f t="shared" ref="I71:J71" si="1">SUM(I61:I70)</f>
        <v>1398851.15</v>
      </c>
      <c r="J71" s="175">
        <f t="shared" si="1"/>
        <v>1433160.43</v>
      </c>
      <c r="K71" s="215"/>
      <c r="L71" s="153"/>
      <c r="M71" s="153"/>
      <c r="N71" s="153"/>
      <c r="O71" s="153"/>
      <c r="P71" s="153"/>
      <c r="Q71" s="105"/>
      <c r="S71" s="409"/>
      <c r="T71" s="411"/>
      <c r="U71" s="411"/>
      <c r="V71" s="411"/>
      <c r="W71" s="411"/>
      <c r="X71" s="411"/>
      <c r="Y71" s="411"/>
      <c r="Z71" s="411"/>
      <c r="AA71" s="411"/>
      <c r="AB71" s="411"/>
      <c r="AC71" s="411"/>
      <c r="AD71" s="411"/>
      <c r="AE71" s="411"/>
      <c r="AF71" s="411"/>
      <c r="AG71" s="412"/>
    </row>
    <row r="72" spans="2:33" ht="23" customHeight="1" x14ac:dyDescent="0.15">
      <c r="B72" s="116"/>
      <c r="C72" s="216"/>
      <c r="D72" s="216"/>
      <c r="E72" s="217"/>
      <c r="F72" s="217"/>
      <c r="G72" s="218"/>
      <c r="H72" s="218"/>
      <c r="I72" s="218"/>
      <c r="J72" s="218"/>
      <c r="K72" s="217"/>
      <c r="L72" s="217"/>
      <c r="M72" s="219"/>
      <c r="N72" s="219"/>
      <c r="O72" s="219"/>
      <c r="P72" s="219"/>
      <c r="Q72" s="105"/>
      <c r="S72" s="409"/>
      <c r="T72" s="411"/>
      <c r="U72" s="411"/>
      <c r="V72" s="411"/>
      <c r="W72" s="411"/>
      <c r="X72" s="411"/>
      <c r="Y72" s="411"/>
      <c r="Z72" s="411"/>
      <c r="AA72" s="411"/>
      <c r="AB72" s="411"/>
      <c r="AC72" s="411"/>
      <c r="AD72" s="411"/>
      <c r="AE72" s="411"/>
      <c r="AF72" s="411"/>
      <c r="AG72" s="412"/>
    </row>
    <row r="73" spans="2:33" s="114" customFormat="1" ht="30" customHeight="1" x14ac:dyDescent="0.2">
      <c r="B73" s="110"/>
      <c r="C73" s="65" t="s">
        <v>802</v>
      </c>
      <c r="D73" s="21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113"/>
      <c r="S73" s="409"/>
      <c r="T73" s="411"/>
      <c r="U73" s="411"/>
      <c r="V73" s="411"/>
      <c r="W73" s="411"/>
      <c r="X73" s="411"/>
      <c r="Y73" s="411"/>
      <c r="Z73" s="411"/>
      <c r="AA73" s="411"/>
      <c r="AB73" s="411"/>
      <c r="AC73" s="411"/>
      <c r="AD73" s="411"/>
      <c r="AE73" s="411"/>
      <c r="AF73" s="411"/>
      <c r="AG73" s="412"/>
    </row>
    <row r="74" spans="2:33" ht="23" customHeight="1" x14ac:dyDescent="0.15">
      <c r="B74" s="116"/>
      <c r="C74" s="1435" t="s">
        <v>779</v>
      </c>
      <c r="D74" s="1437"/>
      <c r="E74" s="1457" t="s">
        <v>434</v>
      </c>
      <c r="F74" s="1458"/>
      <c r="G74" s="896">
        <f>ejercicio-1</f>
        <v>2019</v>
      </c>
      <c r="H74" s="896">
        <f>ejercicio</f>
        <v>2020</v>
      </c>
      <c r="I74" s="896" t="s">
        <v>436</v>
      </c>
      <c r="J74" s="896" t="s">
        <v>438</v>
      </c>
      <c r="K74" s="896" t="s">
        <v>437</v>
      </c>
      <c r="L74" s="96"/>
      <c r="M74" s="96"/>
      <c r="N74" s="96"/>
      <c r="O74" s="96"/>
      <c r="P74" s="96"/>
      <c r="Q74" s="105"/>
      <c r="S74" s="409"/>
      <c r="T74" s="411"/>
      <c r="U74" s="411"/>
      <c r="V74" s="411"/>
      <c r="W74" s="411"/>
      <c r="X74" s="411"/>
      <c r="Y74" s="411"/>
      <c r="Z74" s="411"/>
      <c r="AA74" s="411"/>
      <c r="AB74" s="411"/>
      <c r="AC74" s="411"/>
      <c r="AD74" s="411"/>
      <c r="AE74" s="411"/>
      <c r="AF74" s="411"/>
      <c r="AG74" s="412"/>
    </row>
    <row r="75" spans="2:33" ht="23" customHeight="1" x14ac:dyDescent="0.15">
      <c r="B75" s="116"/>
      <c r="C75" s="560"/>
      <c r="D75" s="561"/>
      <c r="E75" s="1453"/>
      <c r="F75" s="1454"/>
      <c r="G75" s="482"/>
      <c r="H75" s="511"/>
      <c r="I75" s="837"/>
      <c r="J75" s="837"/>
      <c r="K75" s="838"/>
      <c r="L75" s="96"/>
      <c r="M75" s="96"/>
      <c r="N75" s="96"/>
      <c r="O75" s="96"/>
      <c r="P75" s="96"/>
      <c r="Q75" s="105"/>
      <c r="S75" s="409"/>
      <c r="T75" s="411"/>
      <c r="U75" s="411"/>
      <c r="V75" s="411"/>
      <c r="W75" s="411"/>
      <c r="X75" s="411"/>
      <c r="Y75" s="411"/>
      <c r="Z75" s="411"/>
      <c r="AA75" s="411"/>
      <c r="AB75" s="411"/>
      <c r="AC75" s="411"/>
      <c r="AD75" s="411"/>
      <c r="AE75" s="411"/>
      <c r="AF75" s="411"/>
      <c r="AG75" s="412"/>
    </row>
    <row r="76" spans="2:33" ht="23" customHeight="1" x14ac:dyDescent="0.15">
      <c r="B76" s="116"/>
      <c r="C76" s="562"/>
      <c r="D76" s="563"/>
      <c r="E76" s="1453"/>
      <c r="F76" s="1454"/>
      <c r="G76" s="493"/>
      <c r="H76" s="513"/>
      <c r="I76" s="839"/>
      <c r="J76" s="839"/>
      <c r="K76" s="840"/>
      <c r="L76" s="96"/>
      <c r="M76" s="96"/>
      <c r="N76" s="96"/>
      <c r="O76" s="96"/>
      <c r="P76" s="96"/>
      <c r="Q76" s="105"/>
      <c r="S76" s="409"/>
      <c r="T76" s="411"/>
      <c r="U76" s="411"/>
      <c r="V76" s="411"/>
      <c r="W76" s="411"/>
      <c r="X76" s="411"/>
      <c r="Y76" s="411"/>
      <c r="Z76" s="411"/>
      <c r="AA76" s="411"/>
      <c r="AB76" s="411"/>
      <c r="AC76" s="411"/>
      <c r="AD76" s="411"/>
      <c r="AE76" s="411"/>
      <c r="AF76" s="411"/>
      <c r="AG76" s="412"/>
    </row>
    <row r="77" spans="2:33" ht="23" customHeight="1" x14ac:dyDescent="0.15">
      <c r="B77" s="116"/>
      <c r="C77" s="562"/>
      <c r="D77" s="563"/>
      <c r="E77" s="1453"/>
      <c r="F77" s="1454"/>
      <c r="G77" s="493"/>
      <c r="H77" s="513"/>
      <c r="I77" s="839"/>
      <c r="J77" s="839"/>
      <c r="K77" s="840"/>
      <c r="L77" s="96"/>
      <c r="M77" s="96"/>
      <c r="N77" s="96"/>
      <c r="O77" s="96"/>
      <c r="P77" s="96"/>
      <c r="Q77" s="105"/>
      <c r="S77" s="409"/>
      <c r="T77" s="411"/>
      <c r="U77" s="411"/>
      <c r="V77" s="411"/>
      <c r="W77" s="411"/>
      <c r="X77" s="411"/>
      <c r="Y77" s="411"/>
      <c r="Z77" s="411"/>
      <c r="AA77" s="411"/>
      <c r="AB77" s="411"/>
      <c r="AC77" s="411"/>
      <c r="AD77" s="411"/>
      <c r="AE77" s="411"/>
      <c r="AF77" s="411"/>
      <c r="AG77" s="412"/>
    </row>
    <row r="78" spans="2:33" ht="23" customHeight="1" x14ac:dyDescent="0.15">
      <c r="B78" s="116"/>
      <c r="C78" s="562"/>
      <c r="D78" s="563"/>
      <c r="E78" s="1453"/>
      <c r="F78" s="1454"/>
      <c r="G78" s="493"/>
      <c r="H78" s="513"/>
      <c r="I78" s="839"/>
      <c r="J78" s="839"/>
      <c r="K78" s="840"/>
      <c r="L78" s="96"/>
      <c r="M78" s="96"/>
      <c r="N78" s="96"/>
      <c r="O78" s="96"/>
      <c r="P78" s="96"/>
      <c r="Q78" s="105"/>
      <c r="S78" s="409"/>
      <c r="T78" s="411"/>
      <c r="U78" s="411"/>
      <c r="V78" s="411"/>
      <c r="W78" s="411"/>
      <c r="X78" s="411"/>
      <c r="Y78" s="411"/>
      <c r="Z78" s="411"/>
      <c r="AA78" s="411"/>
      <c r="AB78" s="411"/>
      <c r="AC78" s="411"/>
      <c r="AD78" s="411"/>
      <c r="AE78" s="411"/>
      <c r="AF78" s="411"/>
      <c r="AG78" s="412"/>
    </row>
    <row r="79" spans="2:33" ht="23" customHeight="1" x14ac:dyDescent="0.15">
      <c r="B79" s="116"/>
      <c r="C79" s="562"/>
      <c r="D79" s="563"/>
      <c r="E79" s="1453"/>
      <c r="F79" s="1454"/>
      <c r="G79" s="486"/>
      <c r="H79" s="514"/>
      <c r="I79" s="841"/>
      <c r="J79" s="841"/>
      <c r="K79" s="842"/>
      <c r="L79" s="96"/>
      <c r="M79" s="96"/>
      <c r="N79" s="96"/>
      <c r="O79" s="96"/>
      <c r="P79" s="96"/>
      <c r="Q79" s="105"/>
      <c r="S79" s="409"/>
      <c r="T79" s="411"/>
      <c r="U79" s="411"/>
      <c r="V79" s="411"/>
      <c r="W79" s="411"/>
      <c r="X79" s="411"/>
      <c r="Y79" s="411"/>
      <c r="Z79" s="411"/>
      <c r="AA79" s="411"/>
      <c r="AB79" s="411"/>
      <c r="AC79" s="411"/>
      <c r="AD79" s="411"/>
      <c r="AE79" s="411"/>
      <c r="AF79" s="411"/>
      <c r="AG79" s="412"/>
    </row>
    <row r="80" spans="2:33" ht="23" customHeight="1" x14ac:dyDescent="0.15">
      <c r="B80" s="116"/>
      <c r="C80" s="562"/>
      <c r="D80" s="563"/>
      <c r="E80" s="1453"/>
      <c r="F80" s="1454"/>
      <c r="G80" s="486"/>
      <c r="H80" s="514"/>
      <c r="I80" s="841"/>
      <c r="J80" s="841"/>
      <c r="K80" s="842"/>
      <c r="L80" s="96"/>
      <c r="M80" s="96"/>
      <c r="N80" s="96"/>
      <c r="O80" s="96"/>
      <c r="P80" s="96"/>
      <c r="Q80" s="105"/>
      <c r="S80" s="409"/>
      <c r="T80" s="411"/>
      <c r="U80" s="411"/>
      <c r="V80" s="411"/>
      <c r="W80" s="411"/>
      <c r="X80" s="411"/>
      <c r="Y80" s="411"/>
      <c r="Z80" s="411"/>
      <c r="AA80" s="411"/>
      <c r="AB80" s="411"/>
      <c r="AC80" s="411"/>
      <c r="AD80" s="411"/>
      <c r="AE80" s="411"/>
      <c r="AF80" s="411"/>
      <c r="AG80" s="412"/>
    </row>
    <row r="81" spans="2:33" ht="23" customHeight="1" x14ac:dyDescent="0.15">
      <c r="B81" s="116"/>
      <c r="C81" s="562"/>
      <c r="D81" s="563"/>
      <c r="E81" s="1453"/>
      <c r="F81" s="1454"/>
      <c r="G81" s="486"/>
      <c r="H81" s="514"/>
      <c r="I81" s="841"/>
      <c r="J81" s="841"/>
      <c r="K81" s="842"/>
      <c r="L81" s="96"/>
      <c r="M81" s="96"/>
      <c r="N81" s="96"/>
      <c r="O81" s="96"/>
      <c r="P81" s="96"/>
      <c r="Q81" s="105"/>
      <c r="S81" s="409"/>
      <c r="T81" s="411"/>
      <c r="U81" s="411"/>
      <c r="V81" s="411"/>
      <c r="W81" s="411"/>
      <c r="X81" s="411"/>
      <c r="Y81" s="411"/>
      <c r="Z81" s="411"/>
      <c r="AA81" s="411"/>
      <c r="AB81" s="411"/>
      <c r="AC81" s="411"/>
      <c r="AD81" s="411"/>
      <c r="AE81" s="411"/>
      <c r="AF81" s="411"/>
      <c r="AG81" s="412"/>
    </row>
    <row r="82" spans="2:33" ht="23" customHeight="1" x14ac:dyDescent="0.15">
      <c r="B82" s="116"/>
      <c r="C82" s="562"/>
      <c r="D82" s="563"/>
      <c r="E82" s="1453"/>
      <c r="F82" s="1454"/>
      <c r="G82" s="495"/>
      <c r="H82" s="515"/>
      <c r="I82" s="843"/>
      <c r="J82" s="843"/>
      <c r="K82" s="844"/>
      <c r="L82" s="96"/>
      <c r="M82" s="96"/>
      <c r="N82" s="96"/>
      <c r="O82" s="96"/>
      <c r="P82" s="96"/>
      <c r="Q82" s="105"/>
      <c r="S82" s="409"/>
      <c r="T82" s="411"/>
      <c r="U82" s="411"/>
      <c r="V82" s="411"/>
      <c r="W82" s="411"/>
      <c r="X82" s="411"/>
      <c r="Y82" s="411"/>
      <c r="Z82" s="411"/>
      <c r="AA82" s="411"/>
      <c r="AB82" s="411"/>
      <c r="AC82" s="411"/>
      <c r="AD82" s="411"/>
      <c r="AE82" s="411"/>
      <c r="AF82" s="411"/>
      <c r="AG82" s="412"/>
    </row>
    <row r="83" spans="2:33" ht="23" customHeight="1" x14ac:dyDescent="0.15">
      <c r="B83" s="116"/>
      <c r="C83" s="562"/>
      <c r="D83" s="563"/>
      <c r="E83" s="1453"/>
      <c r="F83" s="1454"/>
      <c r="G83" s="495"/>
      <c r="H83" s="515"/>
      <c r="I83" s="843"/>
      <c r="J83" s="843"/>
      <c r="K83" s="844"/>
      <c r="L83" s="96"/>
      <c r="M83" s="96"/>
      <c r="N83" s="96"/>
      <c r="O83" s="96"/>
      <c r="P83" s="96"/>
      <c r="Q83" s="105"/>
      <c r="S83" s="409"/>
      <c r="T83" s="411"/>
      <c r="U83" s="411"/>
      <c r="V83" s="411"/>
      <c r="W83" s="411"/>
      <c r="X83" s="411"/>
      <c r="Y83" s="411"/>
      <c r="Z83" s="411"/>
      <c r="AA83" s="411"/>
      <c r="AB83" s="411"/>
      <c r="AC83" s="411"/>
      <c r="AD83" s="411"/>
      <c r="AE83" s="411"/>
      <c r="AF83" s="411"/>
      <c r="AG83" s="412"/>
    </row>
    <row r="84" spans="2:33" ht="23" customHeight="1" x14ac:dyDescent="0.15">
      <c r="B84" s="116"/>
      <c r="C84" s="564"/>
      <c r="D84" s="565"/>
      <c r="E84" s="1453"/>
      <c r="F84" s="1454"/>
      <c r="G84" s="490"/>
      <c r="H84" s="516"/>
      <c r="I84" s="845"/>
      <c r="J84" s="845"/>
      <c r="K84" s="846"/>
      <c r="L84" s="96"/>
      <c r="M84" s="96"/>
      <c r="N84" s="96"/>
      <c r="O84" s="96"/>
      <c r="P84" s="96"/>
      <c r="Q84" s="105"/>
      <c r="S84" s="409"/>
      <c r="T84" s="411"/>
      <c r="U84" s="411"/>
      <c r="V84" s="411"/>
      <c r="W84" s="411"/>
      <c r="X84" s="411"/>
      <c r="Y84" s="411"/>
      <c r="Z84" s="411"/>
      <c r="AA84" s="411"/>
      <c r="AB84" s="411"/>
      <c r="AC84" s="411"/>
      <c r="AD84" s="411"/>
      <c r="AE84" s="411"/>
      <c r="AF84" s="411"/>
      <c r="AG84" s="412"/>
    </row>
    <row r="85" spans="2:33" ht="23" customHeight="1" thickBot="1" x14ac:dyDescent="0.2">
      <c r="B85" s="116"/>
      <c r="C85" s="1450" t="s">
        <v>803</v>
      </c>
      <c r="D85" s="1451"/>
      <c r="E85" s="1451"/>
      <c r="F85" s="1452"/>
      <c r="G85" s="175">
        <f>SUM(G75:G84)</f>
        <v>0</v>
      </c>
      <c r="H85" s="175">
        <f>SUM(H75:H84)</f>
        <v>0</v>
      </c>
      <c r="I85" s="95"/>
      <c r="J85" s="95"/>
      <c r="K85" s="170"/>
      <c r="L85" s="153"/>
      <c r="M85" s="153"/>
      <c r="N85" s="153"/>
      <c r="O85" s="153"/>
      <c r="P85" s="153"/>
      <c r="Q85" s="105"/>
      <c r="S85" s="409"/>
      <c r="T85" s="411"/>
      <c r="U85" s="411"/>
      <c r="V85" s="411"/>
      <c r="W85" s="411"/>
      <c r="X85" s="411"/>
      <c r="Y85" s="411"/>
      <c r="Z85" s="411"/>
      <c r="AA85" s="411"/>
      <c r="AB85" s="411"/>
      <c r="AC85" s="411"/>
      <c r="AD85" s="411"/>
      <c r="AE85" s="411"/>
      <c r="AF85" s="411"/>
      <c r="AG85" s="412"/>
    </row>
    <row r="86" spans="2:33" ht="23" customHeight="1" x14ac:dyDescent="0.15">
      <c r="B86" s="116"/>
      <c r="C86" s="216"/>
      <c r="D86" s="216"/>
      <c r="E86" s="217"/>
      <c r="F86" s="217"/>
      <c r="G86" s="218"/>
      <c r="H86" s="218"/>
      <c r="I86" s="218"/>
      <c r="J86" s="218"/>
      <c r="K86" s="218"/>
      <c r="L86" s="95"/>
      <c r="M86" s="95"/>
      <c r="N86" s="170"/>
      <c r="O86" s="217"/>
      <c r="P86" s="219"/>
      <c r="Q86" s="105"/>
      <c r="S86" s="409"/>
      <c r="T86" s="411"/>
      <c r="U86" s="411"/>
      <c r="V86" s="411"/>
      <c r="W86" s="411"/>
      <c r="X86" s="411"/>
      <c r="Y86" s="411"/>
      <c r="Z86" s="411"/>
      <c r="AA86" s="411"/>
      <c r="AB86" s="411"/>
      <c r="AC86" s="411"/>
      <c r="AD86" s="411"/>
      <c r="AE86" s="411"/>
      <c r="AF86" s="411"/>
      <c r="AG86" s="412"/>
    </row>
    <row r="87" spans="2:33" ht="23" customHeight="1" x14ac:dyDescent="0.15">
      <c r="B87" s="116"/>
      <c r="C87" s="171" t="s">
        <v>782</v>
      </c>
      <c r="D87" s="169"/>
      <c r="E87" s="170"/>
      <c r="F87" s="170"/>
      <c r="G87" s="170"/>
      <c r="H87" s="170"/>
      <c r="I87" s="170"/>
      <c r="J87" s="170"/>
      <c r="K87" s="170"/>
      <c r="L87" s="95"/>
      <c r="M87" s="95"/>
      <c r="N87" s="170"/>
      <c r="O87" s="170"/>
      <c r="P87" s="95"/>
      <c r="Q87" s="105"/>
      <c r="S87" s="409"/>
      <c r="T87" s="411"/>
      <c r="U87" s="411"/>
      <c r="V87" s="411"/>
      <c r="W87" s="411"/>
      <c r="X87" s="411"/>
      <c r="Y87" s="411"/>
      <c r="Z87" s="411"/>
      <c r="AA87" s="411"/>
      <c r="AB87" s="411"/>
      <c r="AC87" s="411"/>
      <c r="AD87" s="411"/>
      <c r="AE87" s="411"/>
      <c r="AF87" s="411"/>
      <c r="AG87" s="412"/>
    </row>
    <row r="88" spans="2:33" ht="18" x14ac:dyDescent="0.15">
      <c r="B88" s="116"/>
      <c r="C88" s="882"/>
      <c r="D88" s="882"/>
      <c r="E88" s="883"/>
      <c r="F88" s="883"/>
      <c r="G88" s="883"/>
      <c r="H88" s="883"/>
      <c r="I88" s="883"/>
      <c r="J88" s="883"/>
      <c r="K88" s="883"/>
      <c r="L88" s="883"/>
      <c r="M88" s="883"/>
      <c r="N88" s="883"/>
      <c r="O88" s="883"/>
      <c r="P88" s="884"/>
      <c r="Q88" s="105"/>
      <c r="S88" s="409"/>
      <c r="T88" s="411"/>
      <c r="U88" s="411"/>
      <c r="V88" s="411"/>
      <c r="W88" s="411"/>
      <c r="X88" s="411"/>
      <c r="Y88" s="411"/>
      <c r="Z88" s="411"/>
      <c r="AA88" s="411"/>
      <c r="AB88" s="411"/>
      <c r="AC88" s="411"/>
      <c r="AD88" s="411"/>
      <c r="AE88" s="411"/>
      <c r="AF88" s="411"/>
      <c r="AG88" s="412"/>
    </row>
    <row r="89" spans="2:33" ht="18" x14ac:dyDescent="0.15">
      <c r="B89" s="116"/>
      <c r="C89" s="885"/>
      <c r="D89" s="885"/>
      <c r="E89" s="886"/>
      <c r="F89" s="886"/>
      <c r="G89" s="886"/>
      <c r="H89" s="886"/>
      <c r="I89" s="886"/>
      <c r="J89" s="886"/>
      <c r="K89" s="886"/>
      <c r="L89" s="886"/>
      <c r="M89" s="886"/>
      <c r="N89" s="886"/>
      <c r="O89" s="886"/>
      <c r="P89" s="887"/>
      <c r="Q89" s="105"/>
      <c r="S89" s="409"/>
      <c r="T89" s="411"/>
      <c r="U89" s="411"/>
      <c r="V89" s="411"/>
      <c r="W89" s="411"/>
      <c r="X89" s="411"/>
      <c r="Y89" s="411"/>
      <c r="Z89" s="411"/>
      <c r="AA89" s="411"/>
      <c r="AB89" s="411"/>
      <c r="AC89" s="411"/>
      <c r="AD89" s="411"/>
      <c r="AE89" s="411"/>
      <c r="AF89" s="411"/>
      <c r="AG89" s="412"/>
    </row>
    <row r="90" spans="2:33" ht="18" x14ac:dyDescent="0.15">
      <c r="B90" s="116"/>
      <c r="C90" s="885"/>
      <c r="D90" s="885"/>
      <c r="E90" s="886"/>
      <c r="F90" s="886"/>
      <c r="G90" s="886"/>
      <c r="H90" s="886"/>
      <c r="I90" s="886"/>
      <c r="J90" s="886"/>
      <c r="K90" s="886"/>
      <c r="L90" s="886"/>
      <c r="M90" s="886"/>
      <c r="N90" s="886"/>
      <c r="O90" s="886"/>
      <c r="P90" s="887"/>
      <c r="Q90" s="105"/>
      <c r="S90" s="409"/>
      <c r="T90" s="411"/>
      <c r="U90" s="411"/>
      <c r="V90" s="411"/>
      <c r="W90" s="411"/>
      <c r="X90" s="411"/>
      <c r="Y90" s="411"/>
      <c r="Z90" s="411"/>
      <c r="AA90" s="411"/>
      <c r="AB90" s="411"/>
      <c r="AC90" s="411"/>
      <c r="AD90" s="411"/>
      <c r="AE90" s="411"/>
      <c r="AF90" s="411"/>
      <c r="AG90" s="412"/>
    </row>
    <row r="91" spans="2:33" ht="18" x14ac:dyDescent="0.15">
      <c r="B91" s="116"/>
      <c r="C91" s="885"/>
      <c r="D91" s="885"/>
      <c r="E91" s="886"/>
      <c r="F91" s="886"/>
      <c r="G91" s="886"/>
      <c r="H91" s="886"/>
      <c r="I91" s="886"/>
      <c r="J91" s="886"/>
      <c r="K91" s="886"/>
      <c r="L91" s="886"/>
      <c r="M91" s="886"/>
      <c r="N91" s="886"/>
      <c r="O91" s="886"/>
      <c r="P91" s="887"/>
      <c r="Q91" s="105"/>
      <c r="S91" s="409"/>
      <c r="T91" s="411"/>
      <c r="U91" s="411"/>
      <c r="V91" s="411"/>
      <c r="W91" s="411"/>
      <c r="X91" s="411"/>
      <c r="Y91" s="411"/>
      <c r="Z91" s="411"/>
      <c r="AA91" s="411"/>
      <c r="AB91" s="411"/>
      <c r="AC91" s="411"/>
      <c r="AD91" s="411"/>
      <c r="AE91" s="411"/>
      <c r="AF91" s="411"/>
      <c r="AG91" s="412"/>
    </row>
    <row r="92" spans="2:33" ht="18" x14ac:dyDescent="0.15">
      <c r="B92" s="116"/>
      <c r="C92" s="885"/>
      <c r="D92" s="885"/>
      <c r="E92" s="886"/>
      <c r="F92" s="886"/>
      <c r="G92" s="886"/>
      <c r="H92" s="886"/>
      <c r="I92" s="886"/>
      <c r="J92" s="886"/>
      <c r="K92" s="886"/>
      <c r="L92" s="886"/>
      <c r="M92" s="886"/>
      <c r="N92" s="886"/>
      <c r="O92" s="886"/>
      <c r="P92" s="887"/>
      <c r="Q92" s="105"/>
      <c r="S92" s="409"/>
      <c r="T92" s="411"/>
      <c r="U92" s="411"/>
      <c r="V92" s="411"/>
      <c r="W92" s="411"/>
      <c r="X92" s="411"/>
      <c r="Y92" s="411"/>
      <c r="Z92" s="411"/>
      <c r="AA92" s="411"/>
      <c r="AB92" s="411"/>
      <c r="AC92" s="411"/>
      <c r="AD92" s="411"/>
      <c r="AE92" s="411"/>
      <c r="AF92" s="411"/>
      <c r="AG92" s="412"/>
    </row>
    <row r="93" spans="2:33" ht="18" x14ac:dyDescent="0.15">
      <c r="B93" s="116"/>
      <c r="C93" s="885"/>
      <c r="D93" s="885"/>
      <c r="E93" s="886"/>
      <c r="F93" s="886"/>
      <c r="G93" s="886"/>
      <c r="H93" s="886"/>
      <c r="I93" s="886"/>
      <c r="J93" s="886"/>
      <c r="K93" s="886"/>
      <c r="L93" s="886"/>
      <c r="M93" s="886"/>
      <c r="N93" s="886"/>
      <c r="O93" s="886"/>
      <c r="P93" s="887"/>
      <c r="Q93" s="105"/>
      <c r="S93" s="409"/>
      <c r="T93" s="411"/>
      <c r="U93" s="411"/>
      <c r="V93" s="411"/>
      <c r="W93" s="411"/>
      <c r="X93" s="411"/>
      <c r="Y93" s="411"/>
      <c r="Z93" s="411"/>
      <c r="AA93" s="411"/>
      <c r="AB93" s="411"/>
      <c r="AC93" s="411"/>
      <c r="AD93" s="411"/>
      <c r="AE93" s="411"/>
      <c r="AF93" s="411"/>
      <c r="AG93" s="412"/>
    </row>
    <row r="94" spans="2:33" ht="18" x14ac:dyDescent="0.15">
      <c r="B94" s="116"/>
      <c r="C94" s="885"/>
      <c r="D94" s="885"/>
      <c r="E94" s="886"/>
      <c r="F94" s="886"/>
      <c r="G94" s="886"/>
      <c r="H94" s="886"/>
      <c r="I94" s="886"/>
      <c r="J94" s="886"/>
      <c r="K94" s="886"/>
      <c r="L94" s="886"/>
      <c r="M94" s="886"/>
      <c r="N94" s="886"/>
      <c r="O94" s="886"/>
      <c r="P94" s="887"/>
      <c r="Q94" s="105"/>
      <c r="S94" s="409"/>
      <c r="T94" s="411"/>
      <c r="U94" s="411"/>
      <c r="V94" s="411"/>
      <c r="W94" s="411"/>
      <c r="X94" s="411"/>
      <c r="Y94" s="411"/>
      <c r="Z94" s="411"/>
      <c r="AA94" s="411"/>
      <c r="AB94" s="411"/>
      <c r="AC94" s="411"/>
      <c r="AD94" s="411"/>
      <c r="AE94" s="411"/>
      <c r="AF94" s="411"/>
      <c r="AG94" s="412"/>
    </row>
    <row r="95" spans="2:33" ht="18" x14ac:dyDescent="0.15">
      <c r="B95" s="116"/>
      <c r="C95" s="885"/>
      <c r="D95" s="885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7"/>
      <c r="Q95" s="105"/>
      <c r="S95" s="409"/>
      <c r="T95" s="411"/>
      <c r="U95" s="411"/>
      <c r="V95" s="411"/>
      <c r="W95" s="411"/>
      <c r="X95" s="411"/>
      <c r="Y95" s="411"/>
      <c r="Z95" s="411"/>
      <c r="AA95" s="411"/>
      <c r="AB95" s="411"/>
      <c r="AC95" s="411"/>
      <c r="AD95" s="411"/>
      <c r="AE95" s="411"/>
      <c r="AF95" s="411"/>
      <c r="AG95" s="412"/>
    </row>
    <row r="96" spans="2:33" ht="18" x14ac:dyDescent="0.15">
      <c r="B96" s="116"/>
      <c r="C96" s="885"/>
      <c r="D96" s="885"/>
      <c r="E96" s="886"/>
      <c r="F96" s="886"/>
      <c r="G96" s="886"/>
      <c r="H96" s="886"/>
      <c r="I96" s="886"/>
      <c r="J96" s="886"/>
      <c r="K96" s="886"/>
      <c r="L96" s="886"/>
      <c r="M96" s="886"/>
      <c r="N96" s="886"/>
      <c r="O96" s="886"/>
      <c r="P96" s="887"/>
      <c r="Q96" s="105"/>
      <c r="S96" s="409"/>
      <c r="T96" s="411"/>
      <c r="U96" s="411"/>
      <c r="V96" s="411"/>
      <c r="W96" s="411"/>
      <c r="X96" s="411"/>
      <c r="Y96" s="411"/>
      <c r="Z96" s="411"/>
      <c r="AA96" s="411"/>
      <c r="AB96" s="411"/>
      <c r="AC96" s="411"/>
      <c r="AD96" s="411"/>
      <c r="AE96" s="411"/>
      <c r="AF96" s="411"/>
      <c r="AG96" s="412"/>
    </row>
    <row r="97" spans="2:33" ht="18" x14ac:dyDescent="0.15">
      <c r="B97" s="116"/>
      <c r="C97" s="885"/>
      <c r="D97" s="885"/>
      <c r="E97" s="886"/>
      <c r="F97" s="886"/>
      <c r="G97" s="886"/>
      <c r="H97" s="886"/>
      <c r="I97" s="886"/>
      <c r="J97" s="886"/>
      <c r="K97" s="886"/>
      <c r="L97" s="886"/>
      <c r="M97" s="886"/>
      <c r="N97" s="886"/>
      <c r="O97" s="886"/>
      <c r="P97" s="887"/>
      <c r="Q97" s="105"/>
      <c r="S97" s="409"/>
      <c r="T97" s="411"/>
      <c r="U97" s="411"/>
      <c r="V97" s="411"/>
      <c r="W97" s="411"/>
      <c r="X97" s="411"/>
      <c r="Y97" s="411"/>
      <c r="Z97" s="411"/>
      <c r="AA97" s="411"/>
      <c r="AB97" s="411"/>
      <c r="AC97" s="411"/>
      <c r="AD97" s="411"/>
      <c r="AE97" s="411"/>
      <c r="AF97" s="411"/>
      <c r="AG97" s="412"/>
    </row>
    <row r="98" spans="2:33" s="615" customFormat="1" ht="18" x14ac:dyDescent="0.15">
      <c r="B98" s="638"/>
      <c r="C98" s="694" t="s">
        <v>783</v>
      </c>
      <c r="D98" s="1282"/>
      <c r="E98" s="696"/>
      <c r="F98" s="696"/>
      <c r="G98" s="696"/>
      <c r="H98" s="696"/>
      <c r="I98" s="696"/>
      <c r="J98" s="696"/>
      <c r="K98" s="696"/>
      <c r="L98" s="696"/>
      <c r="M98" s="696"/>
      <c r="N98" s="696"/>
      <c r="O98" s="696"/>
      <c r="P98" s="636"/>
      <c r="Q98" s="626"/>
      <c r="S98" s="987"/>
      <c r="T98" s="989"/>
      <c r="U98" s="989"/>
      <c r="V98" s="989"/>
      <c r="W98" s="989"/>
      <c r="X98" s="989"/>
      <c r="Y98" s="989"/>
      <c r="Z98" s="989"/>
      <c r="AA98" s="989"/>
      <c r="AB98" s="989"/>
      <c r="AC98" s="989"/>
      <c r="AD98" s="989"/>
      <c r="AE98" s="989"/>
      <c r="AF98" s="989"/>
      <c r="AG98" s="990"/>
    </row>
    <row r="99" spans="2:33" s="615" customFormat="1" ht="18" x14ac:dyDescent="0.15">
      <c r="B99" s="638"/>
      <c r="C99" s="1283" t="s">
        <v>795</v>
      </c>
      <c r="D99" s="1282"/>
      <c r="E99" s="696"/>
      <c r="F99" s="696"/>
      <c r="G99" s="696"/>
      <c r="H99" s="696"/>
      <c r="I99" s="696"/>
      <c r="J99" s="696"/>
      <c r="K99" s="696"/>
      <c r="L99" s="696"/>
      <c r="M99" s="696"/>
      <c r="N99" s="696"/>
      <c r="O99" s="696"/>
      <c r="P99" s="636"/>
      <c r="Q99" s="626"/>
      <c r="S99" s="987"/>
      <c r="T99" s="989"/>
      <c r="U99" s="989"/>
      <c r="V99" s="989"/>
      <c r="W99" s="989"/>
      <c r="X99" s="989"/>
      <c r="Y99" s="989"/>
      <c r="Z99" s="989"/>
      <c r="AA99" s="989"/>
      <c r="AB99" s="989"/>
      <c r="AC99" s="989"/>
      <c r="AD99" s="989"/>
      <c r="AE99" s="989"/>
      <c r="AF99" s="989"/>
      <c r="AG99" s="990"/>
    </row>
    <row r="100" spans="2:33" s="615" customFormat="1" ht="18" x14ac:dyDescent="0.15">
      <c r="B100" s="638"/>
      <c r="C100" s="1283" t="s">
        <v>793</v>
      </c>
      <c r="D100" s="1282"/>
      <c r="E100" s="696"/>
      <c r="F100" s="696"/>
      <c r="G100" s="1281">
        <f>ejercicio-1</f>
        <v>2019</v>
      </c>
      <c r="H100" s="696" t="s">
        <v>794</v>
      </c>
      <c r="I100" s="696"/>
      <c r="J100" s="696"/>
      <c r="K100" s="1281">
        <f>ejercicio</f>
        <v>2020</v>
      </c>
      <c r="L100" s="696"/>
      <c r="M100" s="696"/>
      <c r="N100" s="617"/>
      <c r="O100" s="696"/>
      <c r="P100" s="636"/>
      <c r="Q100" s="626"/>
      <c r="S100" s="987"/>
      <c r="T100" s="989"/>
      <c r="U100" s="989"/>
      <c r="V100" s="989"/>
      <c r="W100" s="989"/>
      <c r="X100" s="989"/>
      <c r="Y100" s="989"/>
      <c r="Z100" s="989"/>
      <c r="AA100" s="989"/>
      <c r="AB100" s="989"/>
      <c r="AC100" s="989"/>
      <c r="AD100" s="989"/>
      <c r="AE100" s="989"/>
      <c r="AF100" s="989"/>
      <c r="AG100" s="990"/>
    </row>
    <row r="101" spans="2:33" s="615" customFormat="1" ht="18" x14ac:dyDescent="0.15">
      <c r="B101" s="638"/>
      <c r="C101" s="1283" t="s">
        <v>797</v>
      </c>
      <c r="D101" s="1282"/>
      <c r="E101" s="696"/>
      <c r="F101" s="696"/>
      <c r="G101" s="696"/>
      <c r="H101" s="696"/>
      <c r="I101" s="696"/>
      <c r="J101" s="696"/>
      <c r="K101" s="696"/>
      <c r="L101" s="696"/>
      <c r="M101" s="696"/>
      <c r="N101" s="696"/>
      <c r="O101" s="696"/>
      <c r="P101" s="636"/>
      <c r="Q101" s="626"/>
      <c r="S101" s="987"/>
      <c r="T101" s="989"/>
      <c r="U101" s="989"/>
      <c r="V101" s="989"/>
      <c r="W101" s="989"/>
      <c r="X101" s="989"/>
      <c r="Y101" s="989"/>
      <c r="Z101" s="989"/>
      <c r="AA101" s="989"/>
      <c r="AB101" s="989"/>
      <c r="AC101" s="989"/>
      <c r="AD101" s="989"/>
      <c r="AE101" s="989"/>
      <c r="AF101" s="989"/>
      <c r="AG101" s="990"/>
    </row>
    <row r="102" spans="2:33" s="615" customFormat="1" ht="18" x14ac:dyDescent="0.15">
      <c r="B102" s="638"/>
      <c r="C102" s="1282" t="s">
        <v>796</v>
      </c>
      <c r="D102" s="1282"/>
      <c r="E102" s="696"/>
      <c r="F102" s="696"/>
      <c r="G102" s="696"/>
      <c r="H102" s="696"/>
      <c r="I102" s="696"/>
      <c r="J102" s="696"/>
      <c r="K102" s="696"/>
      <c r="L102" s="696"/>
      <c r="M102" s="696"/>
      <c r="N102" s="696"/>
      <c r="O102" s="696"/>
      <c r="P102" s="636"/>
      <c r="Q102" s="626"/>
      <c r="S102" s="987"/>
      <c r="T102" s="989"/>
      <c r="U102" s="989"/>
      <c r="V102" s="989"/>
      <c r="W102" s="989"/>
      <c r="X102" s="989"/>
      <c r="Y102" s="989"/>
      <c r="Z102" s="989"/>
      <c r="AA102" s="989"/>
      <c r="AB102" s="989"/>
      <c r="AC102" s="989"/>
      <c r="AD102" s="989"/>
      <c r="AE102" s="989"/>
      <c r="AF102" s="989"/>
      <c r="AG102" s="990"/>
    </row>
    <row r="103" spans="2:33" s="615" customFormat="1" ht="18" x14ac:dyDescent="0.15">
      <c r="B103" s="638"/>
      <c r="C103" s="1283" t="s">
        <v>798</v>
      </c>
      <c r="D103" s="1282"/>
      <c r="E103" s="696"/>
      <c r="F103" s="696"/>
      <c r="G103" s="696"/>
      <c r="H103" s="696"/>
      <c r="I103" s="696"/>
      <c r="J103" s="696"/>
      <c r="K103" s="696"/>
      <c r="L103" s="696"/>
      <c r="M103" s="696"/>
      <c r="N103" s="696"/>
      <c r="O103" s="696"/>
      <c r="P103" s="636"/>
      <c r="Q103" s="626"/>
      <c r="S103" s="987"/>
      <c r="T103" s="989"/>
      <c r="U103" s="989"/>
      <c r="V103" s="989"/>
      <c r="W103" s="989"/>
      <c r="X103" s="989"/>
      <c r="Y103" s="989"/>
      <c r="Z103" s="989"/>
      <c r="AA103" s="989"/>
      <c r="AB103" s="989"/>
      <c r="AC103" s="989"/>
      <c r="AD103" s="989"/>
      <c r="AE103" s="989"/>
      <c r="AF103" s="989"/>
      <c r="AG103" s="990"/>
    </row>
    <row r="104" spans="2:33" s="615" customFormat="1" ht="18" x14ac:dyDescent="0.15">
      <c r="B104" s="638"/>
      <c r="C104" s="1282" t="s">
        <v>784</v>
      </c>
      <c r="D104" s="1282"/>
      <c r="E104" s="696"/>
      <c r="F104" s="696"/>
      <c r="G104" s="696"/>
      <c r="H104" s="696"/>
      <c r="I104" s="696"/>
      <c r="J104" s="696"/>
      <c r="K104" s="696"/>
      <c r="L104" s="696"/>
      <c r="M104" s="696"/>
      <c r="N104" s="696"/>
      <c r="O104" s="696"/>
      <c r="P104" s="636"/>
      <c r="Q104" s="626"/>
      <c r="S104" s="987"/>
      <c r="T104" s="989"/>
      <c r="U104" s="989"/>
      <c r="V104" s="989"/>
      <c r="W104" s="989"/>
      <c r="X104" s="989"/>
      <c r="Y104" s="989"/>
      <c r="Z104" s="989"/>
      <c r="AA104" s="989"/>
      <c r="AB104" s="989"/>
      <c r="AC104" s="989"/>
      <c r="AD104" s="989"/>
      <c r="AE104" s="989"/>
      <c r="AF104" s="989"/>
      <c r="AG104" s="990"/>
    </row>
    <row r="105" spans="2:33" s="615" customFormat="1" ht="18" x14ac:dyDescent="0.15">
      <c r="B105" s="638"/>
      <c r="C105" s="1282" t="s">
        <v>804</v>
      </c>
      <c r="D105" s="1282"/>
      <c r="E105" s="696"/>
      <c r="F105" s="696"/>
      <c r="G105" s="696"/>
      <c r="H105" s="696"/>
      <c r="I105" s="696"/>
      <c r="J105" s="696"/>
      <c r="K105" s="696"/>
      <c r="L105" s="696"/>
      <c r="M105" s="696"/>
      <c r="N105" s="696"/>
      <c r="O105" s="696"/>
      <c r="P105" s="636"/>
      <c r="Q105" s="626"/>
      <c r="S105" s="987"/>
      <c r="T105" s="989"/>
      <c r="U105" s="989"/>
      <c r="V105" s="989"/>
      <c r="W105" s="989"/>
      <c r="X105" s="989"/>
      <c r="Y105" s="989"/>
      <c r="Z105" s="989"/>
      <c r="AA105" s="989"/>
      <c r="AB105" s="989"/>
      <c r="AC105" s="989"/>
      <c r="AD105" s="989"/>
      <c r="AE105" s="989"/>
      <c r="AF105" s="989"/>
      <c r="AG105" s="990"/>
    </row>
    <row r="106" spans="2:33" s="615" customFormat="1" ht="18" x14ac:dyDescent="0.15">
      <c r="B106" s="638"/>
      <c r="C106" s="1282" t="s">
        <v>785</v>
      </c>
      <c r="D106" s="1282"/>
      <c r="E106" s="696"/>
      <c r="F106" s="696"/>
      <c r="G106" s="696"/>
      <c r="H106" s="696"/>
      <c r="I106" s="696"/>
      <c r="J106" s="696"/>
      <c r="K106" s="696"/>
      <c r="L106" s="696"/>
      <c r="M106" s="696"/>
      <c r="N106" s="696"/>
      <c r="O106" s="696"/>
      <c r="P106" s="636"/>
      <c r="Q106" s="626"/>
      <c r="S106" s="987"/>
      <c r="T106" s="989"/>
      <c r="U106" s="989"/>
      <c r="V106" s="989"/>
      <c r="W106" s="989"/>
      <c r="X106" s="989"/>
      <c r="Y106" s="989"/>
      <c r="Z106" s="989"/>
      <c r="AA106" s="989"/>
      <c r="AB106" s="989"/>
      <c r="AC106" s="989"/>
      <c r="AD106" s="989"/>
      <c r="AE106" s="989"/>
      <c r="AF106" s="989"/>
      <c r="AG106" s="990"/>
    </row>
    <row r="107" spans="2:33" s="615" customFormat="1" ht="18" x14ac:dyDescent="0.15">
      <c r="B107" s="638"/>
      <c r="C107" s="1283" t="s">
        <v>799</v>
      </c>
      <c r="D107" s="1282"/>
      <c r="E107" s="696"/>
      <c r="F107" s="696"/>
      <c r="G107" s="696"/>
      <c r="H107" s="696"/>
      <c r="I107" s="696"/>
      <c r="J107" s="696"/>
      <c r="K107" s="696"/>
      <c r="L107" s="696"/>
      <c r="M107" s="696"/>
      <c r="N107" s="696"/>
      <c r="O107" s="696"/>
      <c r="P107" s="636"/>
      <c r="Q107" s="626"/>
      <c r="S107" s="987"/>
      <c r="T107" s="989"/>
      <c r="U107" s="989"/>
      <c r="V107" s="989"/>
      <c r="W107" s="989"/>
      <c r="X107" s="989"/>
      <c r="Y107" s="989"/>
      <c r="Z107" s="989"/>
      <c r="AA107" s="989"/>
      <c r="AB107" s="989"/>
      <c r="AC107" s="989"/>
      <c r="AD107" s="989"/>
      <c r="AE107" s="989"/>
      <c r="AF107" s="989"/>
      <c r="AG107" s="990"/>
    </row>
    <row r="108" spans="2:33" s="615" customFormat="1" ht="18" x14ac:dyDescent="0.15">
      <c r="B108" s="638"/>
      <c r="C108" s="1283" t="s">
        <v>806</v>
      </c>
      <c r="D108" s="1282"/>
      <c r="E108" s="696"/>
      <c r="F108" s="696"/>
      <c r="G108" s="696"/>
      <c r="H108" s="696"/>
      <c r="I108" s="696"/>
      <c r="J108" s="696"/>
      <c r="K108" s="696"/>
      <c r="L108" s="696"/>
      <c r="M108" s="696"/>
      <c r="N108" s="696"/>
      <c r="O108" s="696"/>
      <c r="P108" s="636"/>
      <c r="Q108" s="626"/>
      <c r="S108" s="987"/>
      <c r="T108" s="989"/>
      <c r="U108" s="989"/>
      <c r="V108" s="989"/>
      <c r="W108" s="989"/>
      <c r="X108" s="989"/>
      <c r="Y108" s="989"/>
      <c r="Z108" s="989"/>
      <c r="AA108" s="989"/>
      <c r="AB108" s="989"/>
      <c r="AC108" s="989"/>
      <c r="AD108" s="989"/>
      <c r="AE108" s="989"/>
      <c r="AF108" s="989"/>
      <c r="AG108" s="990"/>
    </row>
    <row r="109" spans="2:33" s="615" customFormat="1" ht="18" x14ac:dyDescent="0.15">
      <c r="B109" s="638"/>
      <c r="C109" s="1282" t="s">
        <v>790</v>
      </c>
      <c r="D109" s="1282"/>
      <c r="E109" s="696"/>
      <c r="F109" s="696"/>
      <c r="G109" s="696"/>
      <c r="H109" s="696"/>
      <c r="I109" s="696"/>
      <c r="J109" s="696"/>
      <c r="K109" s="696"/>
      <c r="L109" s="696"/>
      <c r="M109" s="696"/>
      <c r="N109" s="696"/>
      <c r="O109" s="696"/>
      <c r="P109" s="636"/>
      <c r="Q109" s="626"/>
      <c r="S109" s="987"/>
      <c r="T109" s="989"/>
      <c r="U109" s="989"/>
      <c r="V109" s="989"/>
      <c r="W109" s="989"/>
      <c r="X109" s="989"/>
      <c r="Y109" s="989"/>
      <c r="Z109" s="989"/>
      <c r="AA109" s="989"/>
      <c r="AB109" s="989"/>
      <c r="AC109" s="989"/>
      <c r="AD109" s="989"/>
      <c r="AE109" s="989"/>
      <c r="AF109" s="989"/>
      <c r="AG109" s="990"/>
    </row>
    <row r="110" spans="2:33" s="615" customFormat="1" ht="18" x14ac:dyDescent="0.15">
      <c r="B110" s="638"/>
      <c r="C110" s="1283" t="s">
        <v>800</v>
      </c>
      <c r="D110" s="1282"/>
      <c r="E110" s="696"/>
      <c r="F110" s="696"/>
      <c r="G110" s="696"/>
      <c r="H110" s="696"/>
      <c r="I110" s="696"/>
      <c r="J110" s="696"/>
      <c r="K110" s="696"/>
      <c r="L110" s="696"/>
      <c r="M110" s="696"/>
      <c r="N110" s="696"/>
      <c r="O110" s="696"/>
      <c r="P110" s="636"/>
      <c r="Q110" s="626"/>
      <c r="S110" s="987"/>
      <c r="T110" s="989"/>
      <c r="U110" s="989"/>
      <c r="V110" s="989"/>
      <c r="W110" s="989"/>
      <c r="X110" s="989"/>
      <c r="Y110" s="989"/>
      <c r="Z110" s="989"/>
      <c r="AA110" s="989"/>
      <c r="AB110" s="989"/>
      <c r="AC110" s="989"/>
      <c r="AD110" s="989"/>
      <c r="AE110" s="989"/>
      <c r="AF110" s="989"/>
      <c r="AG110" s="990"/>
    </row>
    <row r="111" spans="2:33" s="1289" customFormat="1" ht="18" x14ac:dyDescent="0.15">
      <c r="B111" s="1284"/>
      <c r="C111" s="1285" t="s">
        <v>805</v>
      </c>
      <c r="D111" s="1286"/>
      <c r="E111" s="1287"/>
      <c r="F111" s="1287"/>
      <c r="G111" s="1287"/>
      <c r="H111" s="1287"/>
      <c r="I111" s="1287"/>
      <c r="J111" s="1287"/>
      <c r="K111" s="1287"/>
      <c r="L111" s="1287"/>
      <c r="M111" s="1287"/>
      <c r="N111" s="1287"/>
      <c r="O111" s="1287"/>
      <c r="P111" s="1288"/>
      <c r="Q111" s="990"/>
      <c r="S111" s="987"/>
      <c r="T111" s="989"/>
      <c r="U111" s="989"/>
      <c r="V111" s="989"/>
      <c r="W111" s="989"/>
      <c r="X111" s="989"/>
      <c r="Y111" s="989"/>
      <c r="Z111" s="989"/>
      <c r="AA111" s="989"/>
      <c r="AB111" s="989"/>
      <c r="AC111" s="989"/>
      <c r="AD111" s="989"/>
      <c r="AE111" s="989"/>
      <c r="AF111" s="989"/>
      <c r="AG111" s="990"/>
    </row>
    <row r="112" spans="2:33" s="615" customFormat="1" ht="18" x14ac:dyDescent="0.15">
      <c r="B112" s="638"/>
      <c r="C112" s="1282" t="s">
        <v>791</v>
      </c>
      <c r="D112" s="1282"/>
      <c r="E112" s="696"/>
      <c r="F112" s="696"/>
      <c r="G112" s="696"/>
      <c r="H112" s="696"/>
      <c r="I112" s="696"/>
      <c r="J112" s="696"/>
      <c r="K112" s="696"/>
      <c r="L112" s="696"/>
      <c r="M112" s="696"/>
      <c r="N112" s="696"/>
      <c r="O112" s="696"/>
      <c r="P112" s="636"/>
      <c r="Q112" s="626"/>
      <c r="S112" s="987"/>
      <c r="T112" s="989"/>
      <c r="U112" s="989"/>
      <c r="V112" s="989"/>
      <c r="W112" s="989"/>
      <c r="X112" s="989"/>
      <c r="Y112" s="989"/>
      <c r="Z112" s="989"/>
      <c r="AA112" s="989"/>
      <c r="AB112" s="989"/>
      <c r="AC112" s="989"/>
      <c r="AD112" s="989"/>
      <c r="AE112" s="989"/>
      <c r="AF112" s="989"/>
      <c r="AG112" s="990"/>
    </row>
    <row r="113" spans="2:33" s="615" customFormat="1" ht="18" x14ac:dyDescent="0.15">
      <c r="B113" s="638"/>
      <c r="C113" s="1283" t="s">
        <v>801</v>
      </c>
      <c r="D113" s="1282"/>
      <c r="E113" s="696"/>
      <c r="F113" s="696"/>
      <c r="G113" s="696"/>
      <c r="H113" s="696"/>
      <c r="I113" s="696"/>
      <c r="J113" s="696"/>
      <c r="K113" s="696"/>
      <c r="L113" s="696"/>
      <c r="M113" s="696"/>
      <c r="N113" s="696"/>
      <c r="O113" s="696"/>
      <c r="P113" s="636"/>
      <c r="Q113" s="626"/>
      <c r="S113" s="987"/>
      <c r="T113" s="989"/>
      <c r="U113" s="989"/>
      <c r="V113" s="989"/>
      <c r="W113" s="989"/>
      <c r="X113" s="989"/>
      <c r="Y113" s="989"/>
      <c r="Z113" s="989"/>
      <c r="AA113" s="989"/>
      <c r="AB113" s="989"/>
      <c r="AC113" s="989"/>
      <c r="AD113" s="989"/>
      <c r="AE113" s="989"/>
      <c r="AF113" s="989"/>
      <c r="AG113" s="990"/>
    </row>
    <row r="114" spans="2:33" s="615" customFormat="1" ht="18" x14ac:dyDescent="0.15">
      <c r="B114" s="638"/>
      <c r="C114" s="1282" t="s">
        <v>792</v>
      </c>
      <c r="D114" s="1282"/>
      <c r="E114" s="696"/>
      <c r="F114" s="696"/>
      <c r="G114" s="696"/>
      <c r="H114" s="696"/>
      <c r="I114" s="696"/>
      <c r="J114" s="696"/>
      <c r="K114" s="696"/>
      <c r="L114" s="696"/>
      <c r="M114" s="696"/>
      <c r="N114" s="696"/>
      <c r="O114" s="696"/>
      <c r="P114" s="636"/>
      <c r="Q114" s="626"/>
      <c r="S114" s="987"/>
      <c r="T114" s="989"/>
      <c r="U114" s="989"/>
      <c r="V114" s="989"/>
      <c r="W114" s="989"/>
      <c r="X114" s="989"/>
      <c r="Y114" s="989"/>
      <c r="Z114" s="989"/>
      <c r="AA114" s="989"/>
      <c r="AB114" s="989"/>
      <c r="AC114" s="989"/>
      <c r="AD114" s="989"/>
      <c r="AE114" s="989"/>
      <c r="AF114" s="989"/>
      <c r="AG114" s="990"/>
    </row>
    <row r="115" spans="2:33" s="615" customFormat="1" ht="23" customHeight="1" thickBot="1" x14ac:dyDescent="0.2">
      <c r="B115" s="697"/>
      <c r="C115" s="1369"/>
      <c r="D115" s="1369"/>
      <c r="E115" s="1369"/>
      <c r="F115" s="1369"/>
      <c r="G115" s="1369"/>
      <c r="H115" s="1268"/>
      <c r="I115" s="1268"/>
      <c r="J115" s="1268"/>
      <c r="K115" s="1268"/>
      <c r="L115" s="1268"/>
      <c r="M115" s="1268"/>
      <c r="N115" s="1268"/>
      <c r="O115" s="1268"/>
      <c r="P115" s="1269"/>
      <c r="Q115" s="699"/>
      <c r="S115" s="1023"/>
      <c r="T115" s="1024"/>
      <c r="U115" s="1024"/>
      <c r="V115" s="1024"/>
      <c r="W115" s="1024"/>
      <c r="X115" s="1024"/>
      <c r="Y115" s="1024"/>
      <c r="Z115" s="1024"/>
      <c r="AA115" s="1024"/>
      <c r="AB115" s="1024"/>
      <c r="AC115" s="1024"/>
      <c r="AD115" s="1024"/>
      <c r="AE115" s="1024"/>
      <c r="AF115" s="1024"/>
      <c r="AG115" s="1025"/>
    </row>
    <row r="116" spans="2:33" s="615" customFormat="1" ht="23" customHeight="1" x14ac:dyDescent="0.15">
      <c r="C116" s="624"/>
      <c r="D116" s="624"/>
      <c r="E116" s="625"/>
      <c r="F116" s="625"/>
      <c r="G116" s="625"/>
      <c r="H116" s="625"/>
      <c r="I116" s="625"/>
      <c r="J116" s="625"/>
      <c r="K116" s="625"/>
      <c r="L116" s="625"/>
      <c r="M116" s="625"/>
      <c r="N116" s="625"/>
      <c r="O116" s="625"/>
      <c r="P116" s="625"/>
      <c r="R116" s="615" t="s">
        <v>936</v>
      </c>
    </row>
    <row r="117" spans="2:33" s="615" customFormat="1" ht="13" x14ac:dyDescent="0.15">
      <c r="C117" s="700" t="s">
        <v>70</v>
      </c>
      <c r="D117" s="624"/>
      <c r="E117" s="625"/>
      <c r="F117" s="625"/>
      <c r="G117" s="625"/>
      <c r="H117" s="625"/>
      <c r="I117" s="625"/>
      <c r="J117" s="625"/>
      <c r="K117" s="625"/>
      <c r="L117" s="625"/>
      <c r="M117" s="625"/>
      <c r="N117" s="625"/>
      <c r="O117" s="625"/>
      <c r="P117" s="1026" t="s">
        <v>53</v>
      </c>
    </row>
    <row r="118" spans="2:33" s="615" customFormat="1" ht="13" x14ac:dyDescent="0.15">
      <c r="C118" s="702" t="s">
        <v>71</v>
      </c>
      <c r="D118" s="624"/>
      <c r="E118" s="625"/>
      <c r="F118" s="625"/>
      <c r="G118" s="625"/>
      <c r="H118" s="625"/>
      <c r="I118" s="625"/>
      <c r="J118" s="625"/>
      <c r="K118" s="625"/>
      <c r="L118" s="625"/>
      <c r="M118" s="625"/>
      <c r="N118" s="625"/>
      <c r="O118" s="625"/>
      <c r="P118" s="625"/>
    </row>
    <row r="119" spans="2:33" s="615" customFormat="1" ht="13" x14ac:dyDescent="0.15">
      <c r="C119" s="702" t="s">
        <v>72</v>
      </c>
      <c r="D119" s="624"/>
      <c r="E119" s="625"/>
      <c r="F119" s="625"/>
      <c r="G119" s="625"/>
      <c r="H119" s="625"/>
      <c r="I119" s="625"/>
      <c r="J119" s="625"/>
      <c r="K119" s="625"/>
      <c r="L119" s="625"/>
      <c r="M119" s="625"/>
      <c r="N119" s="625"/>
      <c r="O119" s="625"/>
      <c r="P119" s="625"/>
    </row>
    <row r="120" spans="2:33" s="615" customFormat="1" ht="13" x14ac:dyDescent="0.15">
      <c r="C120" s="702" t="s">
        <v>73</v>
      </c>
      <c r="D120" s="624"/>
      <c r="E120" s="625"/>
      <c r="F120" s="625"/>
      <c r="G120" s="625"/>
      <c r="H120" s="625"/>
      <c r="I120" s="625"/>
      <c r="J120" s="625"/>
      <c r="K120" s="625"/>
      <c r="L120" s="625"/>
      <c r="M120" s="625"/>
      <c r="N120" s="625"/>
      <c r="O120" s="625"/>
      <c r="P120" s="625"/>
    </row>
    <row r="121" spans="2:33" s="615" customFormat="1" ht="13" x14ac:dyDescent="0.15">
      <c r="C121" s="702" t="s">
        <v>74</v>
      </c>
      <c r="D121" s="624"/>
      <c r="E121" s="625"/>
      <c r="F121" s="625"/>
      <c r="G121" s="625"/>
      <c r="H121" s="625"/>
      <c r="I121" s="625"/>
      <c r="J121" s="625"/>
      <c r="K121" s="625"/>
      <c r="L121" s="625"/>
      <c r="M121" s="625"/>
      <c r="N121" s="625"/>
      <c r="O121" s="625"/>
      <c r="P121" s="625"/>
    </row>
    <row r="122" spans="2:33" s="615" customFormat="1" ht="23" customHeight="1" x14ac:dyDescent="0.15">
      <c r="C122" s="624"/>
      <c r="D122" s="624"/>
      <c r="E122" s="625"/>
      <c r="F122" s="625"/>
      <c r="G122" s="625"/>
      <c r="H122" s="625"/>
      <c r="I122" s="625"/>
      <c r="J122" s="625"/>
      <c r="K122" s="625"/>
      <c r="L122" s="625"/>
      <c r="M122" s="625"/>
      <c r="N122" s="625"/>
      <c r="O122" s="625"/>
      <c r="P122" s="625"/>
    </row>
    <row r="123" spans="2:33" s="615" customFormat="1" ht="13" x14ac:dyDescent="0.15">
      <c r="C123" s="624"/>
      <c r="D123" s="624"/>
      <c r="E123" s="625"/>
      <c r="F123" s="625"/>
      <c r="G123" s="625"/>
      <c r="H123" s="625"/>
      <c r="I123" s="625"/>
      <c r="J123" s="625"/>
      <c r="K123" s="625"/>
      <c r="L123" s="625"/>
      <c r="M123" s="625"/>
      <c r="N123" s="625"/>
      <c r="O123" s="625"/>
      <c r="P123" s="625"/>
    </row>
    <row r="124" spans="2:33" s="615" customFormat="1" ht="13" hidden="1" x14ac:dyDescent="0.15">
      <c r="C124" s="1290" t="s">
        <v>1009</v>
      </c>
      <c r="D124" s="624"/>
      <c r="E124" s="625"/>
      <c r="F124" s="625"/>
      <c r="G124" s="625"/>
      <c r="H124" s="625"/>
      <c r="I124" s="625"/>
      <c r="J124" s="625"/>
      <c r="K124" s="625"/>
      <c r="L124" s="625"/>
      <c r="M124" s="625"/>
      <c r="N124" s="625"/>
      <c r="O124" s="625"/>
      <c r="P124" s="625"/>
    </row>
    <row r="125" spans="2:33" s="615" customFormat="1" ht="13" hidden="1" x14ac:dyDescent="0.15">
      <c r="C125" s="624" t="s">
        <v>70</v>
      </c>
      <c r="D125" s="624"/>
      <c r="E125" s="625"/>
      <c r="F125" s="625"/>
      <c r="G125" s="625"/>
      <c r="H125" s="625"/>
      <c r="I125" s="625"/>
      <c r="J125" s="625"/>
      <c r="K125" s="625"/>
      <c r="L125" s="625"/>
      <c r="M125" s="625"/>
      <c r="N125" s="625"/>
      <c r="O125" s="625"/>
      <c r="P125" s="625"/>
    </row>
    <row r="126" spans="2:33" s="615" customFormat="1" ht="13" hidden="1" x14ac:dyDescent="0.15">
      <c r="C126" s="615" t="s">
        <v>274</v>
      </c>
      <c r="E126" s="617"/>
      <c r="F126" s="617"/>
      <c r="G126" s="625"/>
      <c r="H126" s="625"/>
      <c r="I126" s="625"/>
      <c r="J126" s="625"/>
      <c r="K126" s="625"/>
      <c r="L126" s="625"/>
      <c r="M126" s="625"/>
      <c r="N126" s="625"/>
      <c r="O126" s="625"/>
      <c r="P126" s="625"/>
    </row>
    <row r="127" spans="2:33" s="615" customFormat="1" ht="13" x14ac:dyDescent="0.15">
      <c r="E127" s="617"/>
      <c r="F127" s="617"/>
      <c r="G127" s="617"/>
      <c r="H127" s="617"/>
      <c r="I127" s="617"/>
      <c r="J127" s="617"/>
      <c r="K127" s="617"/>
      <c r="L127" s="617"/>
      <c r="M127" s="617"/>
      <c r="N127" s="617"/>
      <c r="O127" s="617"/>
      <c r="P127" s="617"/>
    </row>
  </sheetData>
  <sheetProtection sheet="1" insertRows="0"/>
  <mergeCells count="51">
    <mergeCell ref="C38:D38"/>
    <mergeCell ref="E39:F39"/>
    <mergeCell ref="G16:H16"/>
    <mergeCell ref="G38:H38"/>
    <mergeCell ref="I38:J38"/>
    <mergeCell ref="E38:F38"/>
    <mergeCell ref="J16:K16"/>
    <mergeCell ref="P6:P7"/>
    <mergeCell ref="D9:P9"/>
    <mergeCell ref="C12:D12"/>
    <mergeCell ref="C15:D15"/>
    <mergeCell ref="L15:M15"/>
    <mergeCell ref="L16:M16"/>
    <mergeCell ref="F15:K15"/>
    <mergeCell ref="C17:D17"/>
    <mergeCell ref="C19:E19"/>
    <mergeCell ref="C34:E34"/>
    <mergeCell ref="C16:D16"/>
    <mergeCell ref="C115:G115"/>
    <mergeCell ref="C39:D39"/>
    <mergeCell ref="C59:D59"/>
    <mergeCell ref="G59:H59"/>
    <mergeCell ref="I59:J59"/>
    <mergeCell ref="C60:D60"/>
    <mergeCell ref="E61:F61"/>
    <mergeCell ref="C55:F55"/>
    <mergeCell ref="E60:F60"/>
    <mergeCell ref="E59:F59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C71:F71"/>
    <mergeCell ref="E74:F74"/>
    <mergeCell ref="C74:D74"/>
    <mergeCell ref="C85:F85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</mergeCells>
  <phoneticPr fontId="22" type="noConversion"/>
  <dataValidations count="1">
    <dataValidation type="list" allowBlank="1" showInputMessage="1" showErrorMessage="1" sqref="E40:E54" xr:uid="{00000000-0002-0000-0D00-000000000000}">
      <formula1>$C$125:$C$126</formula1>
    </dataValidation>
  </dataValidations>
  <printOptions horizontalCentered="1" verticalCentered="1"/>
  <pageMargins left="0.35629921259842523" right="0.35629921259842523" top="0.60629921259842523" bottom="0.60629921259842523" header="0.5" footer="0.5"/>
  <pageSetup paperSize="9" scale="31" orientation="portrait" horizontalDpi="4294967292" verticalDpi="4294967292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I131"/>
  <sheetViews>
    <sheetView topLeftCell="I34" zoomScale="110" zoomScaleNormal="125" zoomScalePageLayoutView="125" workbookViewId="0">
      <selection activeCell="J65" sqref="J65"/>
    </sheetView>
  </sheetViews>
  <sheetFormatPr baseColWidth="10" defaultColWidth="10.7109375" defaultRowHeight="23" customHeight="1" x14ac:dyDescent="0.15"/>
  <cols>
    <col min="1" max="1" width="4.28515625" style="615" bestFit="1" customWidth="1"/>
    <col min="2" max="2" width="3.28515625" style="615" customWidth="1"/>
    <col min="3" max="3" width="13.5703125" style="615" customWidth="1"/>
    <col min="4" max="4" width="26.5703125" style="615" customWidth="1"/>
    <col min="5" max="6" width="13.42578125" style="617" customWidth="1"/>
    <col min="7" max="7" width="20" style="617" customWidth="1"/>
    <col min="8" max="8" width="13.42578125" style="617" customWidth="1"/>
    <col min="9" max="9" width="11.28515625" style="617" customWidth="1"/>
    <col min="10" max="10" width="16" style="617" customWidth="1"/>
    <col min="11" max="12" width="15.7109375" style="617" customWidth="1"/>
    <col min="13" max="13" width="16.5703125" style="617" customWidth="1"/>
    <col min="14" max="14" width="17" style="617" customWidth="1"/>
    <col min="15" max="19" width="15.7109375" style="617" customWidth="1"/>
    <col min="20" max="20" width="3.28515625" style="615" customWidth="1"/>
    <col min="21" max="21" width="10.7109375" style="615"/>
    <col min="22" max="22" width="11.28515625" style="615" bestFit="1" customWidth="1"/>
    <col min="23" max="16384" width="10.7109375" style="615"/>
  </cols>
  <sheetData>
    <row r="2" spans="1:35" ht="23" customHeight="1" x14ac:dyDescent="0.15">
      <c r="D2" s="311" t="str">
        <f>_GENERAL!D2</f>
        <v>Área de Presidencia, Hacienda y Modernización</v>
      </c>
    </row>
    <row r="3" spans="1:35" ht="23" customHeight="1" x14ac:dyDescent="0.15">
      <c r="D3" s="311" t="str">
        <f>_GENERAL!D3</f>
        <v>Dirección Insular de Hacienda</v>
      </c>
    </row>
    <row r="4" spans="1:35" ht="23" customHeight="1" thickBot="1" x14ac:dyDescent="0.2">
      <c r="A4" s="615" t="s">
        <v>935</v>
      </c>
    </row>
    <row r="5" spans="1:35" ht="9" customHeight="1" x14ac:dyDescent="0.15">
      <c r="B5" s="618"/>
      <c r="C5" s="619"/>
      <c r="D5" s="619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1"/>
      <c r="V5" s="984"/>
      <c r="W5" s="985"/>
      <c r="X5" s="985"/>
      <c r="Y5" s="985"/>
      <c r="Z5" s="985"/>
      <c r="AA5" s="985"/>
      <c r="AB5" s="985"/>
      <c r="AC5" s="985"/>
      <c r="AD5" s="985"/>
      <c r="AE5" s="985"/>
      <c r="AF5" s="985"/>
      <c r="AG5" s="985"/>
      <c r="AH5" s="985"/>
      <c r="AI5" s="986"/>
    </row>
    <row r="6" spans="1:35" ht="30" customHeight="1" x14ac:dyDescent="0.2">
      <c r="B6" s="622"/>
      <c r="C6" s="623" t="s">
        <v>0</v>
      </c>
      <c r="D6" s="624"/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1368">
        <f>ejercicio</f>
        <v>2020</v>
      </c>
      <c r="T6" s="626"/>
      <c r="V6" s="987"/>
      <c r="W6" s="988" t="s">
        <v>677</v>
      </c>
      <c r="X6" s="989"/>
      <c r="Y6" s="989"/>
      <c r="Z6" s="989"/>
      <c r="AA6" s="989"/>
      <c r="AB6" s="989"/>
      <c r="AC6" s="989"/>
      <c r="AD6" s="989"/>
      <c r="AE6" s="989"/>
      <c r="AF6" s="989"/>
      <c r="AG6" s="989"/>
      <c r="AH6" s="989"/>
      <c r="AI6" s="990"/>
    </row>
    <row r="7" spans="1:35" ht="30" customHeight="1" x14ac:dyDescent="0.2">
      <c r="B7" s="622"/>
      <c r="C7" s="623" t="s">
        <v>1</v>
      </c>
      <c r="D7" s="624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1368"/>
      <c r="T7" s="626"/>
      <c r="V7" s="987"/>
      <c r="W7" s="989"/>
      <c r="X7" s="989"/>
      <c r="Y7" s="989"/>
      <c r="Z7" s="989"/>
      <c r="AA7" s="989"/>
      <c r="AB7" s="989"/>
      <c r="AC7" s="989"/>
      <c r="AD7" s="989"/>
      <c r="AE7" s="989"/>
      <c r="AF7" s="989"/>
      <c r="AG7" s="989"/>
      <c r="AH7" s="989"/>
      <c r="AI7" s="990"/>
    </row>
    <row r="8" spans="1:35" ht="30" customHeight="1" x14ac:dyDescent="0.15">
      <c r="B8" s="622"/>
      <c r="C8" s="628"/>
      <c r="D8" s="624"/>
      <c r="E8" s="625"/>
      <c r="F8" s="625"/>
      <c r="G8" s="625"/>
      <c r="H8" s="625"/>
      <c r="I8" s="625"/>
      <c r="J8" s="625"/>
      <c r="K8" s="625"/>
      <c r="L8" s="625"/>
      <c r="M8" s="625"/>
      <c r="N8" s="625"/>
      <c r="O8" s="625"/>
      <c r="P8" s="625"/>
      <c r="Q8" s="625"/>
      <c r="R8" s="625"/>
      <c r="S8" s="625"/>
      <c r="T8" s="626"/>
      <c r="V8" s="987"/>
      <c r="W8" s="989"/>
      <c r="X8" s="989"/>
      <c r="Y8" s="989"/>
      <c r="Z8" s="989"/>
      <c r="AA8" s="989"/>
      <c r="AB8" s="989"/>
      <c r="AC8" s="989"/>
      <c r="AD8" s="989"/>
      <c r="AE8" s="989"/>
      <c r="AF8" s="989"/>
      <c r="AG8" s="989"/>
      <c r="AH8" s="989"/>
      <c r="AI8" s="990"/>
    </row>
    <row r="9" spans="1:35" s="631" customFormat="1" ht="30" customHeight="1" x14ac:dyDescent="0.2">
      <c r="B9" s="629"/>
      <c r="C9" s="630" t="s">
        <v>2</v>
      </c>
      <c r="D9" s="1370" t="str">
        <f>Entidad</f>
        <v>TEA Tenerife Espacio de las Artes, Entidad Pública Empresarial Local</v>
      </c>
      <c r="E9" s="1370"/>
      <c r="F9" s="1370"/>
      <c r="G9" s="1370"/>
      <c r="H9" s="1370"/>
      <c r="I9" s="1370"/>
      <c r="J9" s="1370"/>
      <c r="K9" s="1370"/>
      <c r="L9" s="1370"/>
      <c r="M9" s="1370"/>
      <c r="N9" s="1370"/>
      <c r="O9" s="1370"/>
      <c r="P9" s="1370"/>
      <c r="Q9" s="1370"/>
      <c r="R9" s="1370"/>
      <c r="S9" s="1370"/>
      <c r="T9" s="627"/>
      <c r="V9" s="987"/>
      <c r="W9" s="989"/>
      <c r="X9" s="989"/>
      <c r="Y9" s="989"/>
      <c r="Z9" s="989"/>
      <c r="AA9" s="989"/>
      <c r="AB9" s="989"/>
      <c r="AC9" s="989"/>
      <c r="AD9" s="989"/>
      <c r="AE9" s="989"/>
      <c r="AF9" s="989"/>
      <c r="AG9" s="989"/>
      <c r="AH9" s="989"/>
      <c r="AI9" s="990"/>
    </row>
    <row r="10" spans="1:35" ht="7.25" customHeight="1" x14ac:dyDescent="0.15">
      <c r="B10" s="622"/>
      <c r="C10" s="624"/>
      <c r="D10" s="624"/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5"/>
      <c r="P10" s="625"/>
      <c r="Q10" s="625"/>
      <c r="R10" s="625"/>
      <c r="S10" s="625"/>
      <c r="T10" s="626"/>
      <c r="V10" s="987"/>
      <c r="W10" s="989"/>
      <c r="X10" s="989"/>
      <c r="Y10" s="989"/>
      <c r="Z10" s="989"/>
      <c r="AA10" s="989"/>
      <c r="AB10" s="989"/>
      <c r="AC10" s="989"/>
      <c r="AD10" s="989"/>
      <c r="AE10" s="989"/>
      <c r="AF10" s="989"/>
      <c r="AG10" s="989"/>
      <c r="AH10" s="989"/>
      <c r="AI10" s="990"/>
    </row>
    <row r="11" spans="1:35" s="635" customFormat="1" ht="30" customHeight="1" x14ac:dyDescent="0.2">
      <c r="B11" s="632"/>
      <c r="C11" s="633" t="s">
        <v>705</v>
      </c>
      <c r="D11" s="633"/>
      <c r="E11" s="634"/>
      <c r="F11" s="634"/>
      <c r="G11" s="634"/>
      <c r="H11" s="634"/>
      <c r="I11" s="634"/>
      <c r="J11" s="634"/>
      <c r="K11" s="634"/>
      <c r="L11" s="634"/>
      <c r="M11" s="634"/>
      <c r="N11" s="634"/>
      <c r="O11" s="634"/>
      <c r="P11" s="634"/>
      <c r="Q11" s="634"/>
      <c r="R11" s="634"/>
      <c r="S11" s="634"/>
      <c r="T11" s="991"/>
      <c r="V11" s="987"/>
      <c r="W11" s="989"/>
      <c r="X11" s="989"/>
      <c r="Y11" s="989"/>
      <c r="Z11" s="989"/>
      <c r="AA11" s="989"/>
      <c r="AB11" s="989"/>
      <c r="AC11" s="989"/>
      <c r="AD11" s="989"/>
      <c r="AE11" s="989"/>
      <c r="AF11" s="989"/>
      <c r="AG11" s="989"/>
      <c r="AH11" s="989"/>
      <c r="AI11" s="990"/>
    </row>
    <row r="12" spans="1:35" s="635" customFormat="1" ht="30" customHeight="1" x14ac:dyDescent="0.2">
      <c r="B12" s="632"/>
      <c r="C12" s="1383"/>
      <c r="D12" s="1383"/>
      <c r="E12" s="636"/>
      <c r="F12" s="636"/>
      <c r="G12" s="636"/>
      <c r="H12" s="636"/>
      <c r="I12" s="636"/>
      <c r="J12" s="636"/>
      <c r="K12" s="636"/>
      <c r="L12" s="636"/>
      <c r="M12" s="636"/>
      <c r="N12" s="636"/>
      <c r="O12" s="636"/>
      <c r="P12" s="636"/>
      <c r="Q12" s="636"/>
      <c r="R12" s="636"/>
      <c r="S12" s="636"/>
      <c r="T12" s="991"/>
      <c r="V12" s="987"/>
      <c r="W12" s="989"/>
      <c r="X12" s="989"/>
      <c r="Y12" s="989"/>
      <c r="Z12" s="989"/>
      <c r="AA12" s="989"/>
      <c r="AB12" s="989"/>
      <c r="AC12" s="989"/>
      <c r="AD12" s="989"/>
      <c r="AE12" s="989"/>
      <c r="AF12" s="989"/>
      <c r="AG12" s="989"/>
      <c r="AH12" s="989"/>
      <c r="AI12" s="990"/>
    </row>
    <row r="13" spans="1:35" ht="29" customHeight="1" x14ac:dyDescent="0.15">
      <c r="B13" s="638"/>
      <c r="C13" s="992" t="s">
        <v>818</v>
      </c>
      <c r="D13" s="958"/>
      <c r="E13" s="636"/>
      <c r="F13" s="636"/>
      <c r="G13" s="636"/>
      <c r="H13" s="636"/>
      <c r="I13" s="636"/>
      <c r="J13" s="636"/>
      <c r="K13" s="636"/>
      <c r="L13" s="636"/>
      <c r="M13" s="636"/>
      <c r="N13" s="636"/>
      <c r="O13" s="636"/>
      <c r="P13" s="636"/>
      <c r="Q13" s="636"/>
      <c r="R13" s="636"/>
      <c r="S13" s="636"/>
      <c r="T13" s="626"/>
      <c r="V13" s="987"/>
      <c r="W13" s="989"/>
      <c r="X13" s="989"/>
      <c r="Y13" s="989"/>
      <c r="Z13" s="989"/>
      <c r="AA13" s="989"/>
      <c r="AB13" s="989"/>
      <c r="AC13" s="989"/>
      <c r="AD13" s="989"/>
      <c r="AE13" s="989"/>
      <c r="AF13" s="989"/>
      <c r="AG13" s="989"/>
      <c r="AH13" s="989"/>
      <c r="AI13" s="990"/>
    </row>
    <row r="14" spans="1:35" ht="9" customHeight="1" x14ac:dyDescent="0.15">
      <c r="B14" s="638"/>
      <c r="C14" s="958"/>
      <c r="D14" s="958"/>
      <c r="E14" s="636"/>
      <c r="F14" s="636"/>
      <c r="G14" s="636"/>
      <c r="H14" s="636"/>
      <c r="I14" s="636"/>
      <c r="J14" s="636"/>
      <c r="K14" s="636"/>
      <c r="L14" s="636"/>
      <c r="M14" s="636"/>
      <c r="N14" s="636"/>
      <c r="O14" s="636"/>
      <c r="P14" s="636"/>
      <c r="Q14" s="636"/>
      <c r="R14" s="636"/>
      <c r="S14" s="636"/>
      <c r="T14" s="626"/>
      <c r="V14" s="987"/>
      <c r="W14" s="989"/>
      <c r="X14" s="989"/>
      <c r="Y14" s="989"/>
      <c r="Z14" s="989"/>
      <c r="AA14" s="989"/>
      <c r="AB14" s="989"/>
      <c r="AC14" s="989"/>
      <c r="AD14" s="989"/>
      <c r="AE14" s="989"/>
      <c r="AF14" s="989"/>
      <c r="AG14" s="989"/>
      <c r="AH14" s="989"/>
      <c r="AI14" s="990"/>
    </row>
    <row r="15" spans="1:35" ht="23" customHeight="1" x14ac:dyDescent="0.15">
      <c r="B15" s="638"/>
      <c r="C15" s="958"/>
      <c r="D15" s="958"/>
      <c r="E15" s="636"/>
      <c r="F15" s="636"/>
      <c r="G15" s="636"/>
      <c r="H15" s="636"/>
      <c r="I15" s="636"/>
      <c r="J15" s="636"/>
      <c r="K15" s="636"/>
      <c r="L15" s="636"/>
      <c r="M15" s="636"/>
      <c r="N15" s="636"/>
      <c r="O15" s="636"/>
      <c r="P15" s="636"/>
      <c r="Q15" s="636"/>
      <c r="R15" s="636"/>
      <c r="S15" s="636"/>
      <c r="T15" s="626"/>
      <c r="V15" s="987"/>
      <c r="W15" s="989"/>
      <c r="X15" s="989"/>
      <c r="Y15" s="989"/>
      <c r="Z15" s="989"/>
      <c r="AA15" s="989"/>
      <c r="AB15" s="989"/>
      <c r="AC15" s="989"/>
      <c r="AD15" s="989"/>
      <c r="AE15" s="989"/>
      <c r="AF15" s="989"/>
      <c r="AG15" s="989"/>
      <c r="AH15" s="989"/>
      <c r="AI15" s="990"/>
    </row>
    <row r="16" spans="1:35" ht="39" customHeight="1" x14ac:dyDescent="0.15">
      <c r="B16" s="638"/>
      <c r="C16" s="993" t="s">
        <v>464</v>
      </c>
      <c r="D16" s="994" t="s">
        <v>466</v>
      </c>
      <c r="E16" s="993" t="s">
        <v>665</v>
      </c>
      <c r="F16" s="993" t="s">
        <v>665</v>
      </c>
      <c r="G16" s="993" t="s">
        <v>468</v>
      </c>
      <c r="H16" s="993" t="s">
        <v>472</v>
      </c>
      <c r="I16" s="993" t="s">
        <v>474</v>
      </c>
      <c r="J16" s="993" t="s">
        <v>718</v>
      </c>
      <c r="K16" s="993" t="s">
        <v>470</v>
      </c>
      <c r="L16" s="993" t="s">
        <v>667</v>
      </c>
      <c r="M16" s="995" t="s">
        <v>678</v>
      </c>
      <c r="N16" s="993" t="s">
        <v>989</v>
      </c>
      <c r="O16" s="993" t="s">
        <v>990</v>
      </c>
      <c r="P16" s="996" t="s">
        <v>991</v>
      </c>
      <c r="Q16" s="993" t="s">
        <v>667</v>
      </c>
      <c r="R16" s="1485" t="s">
        <v>992</v>
      </c>
      <c r="S16" s="1486"/>
      <c r="T16" s="626"/>
      <c r="V16" s="987"/>
      <c r="W16" s="989"/>
      <c r="X16" s="989"/>
      <c r="Y16" s="989"/>
      <c r="Z16" s="989"/>
      <c r="AA16" s="989"/>
      <c r="AB16" s="989"/>
      <c r="AC16" s="989"/>
      <c r="AD16" s="989"/>
      <c r="AE16" s="989"/>
      <c r="AF16" s="989"/>
      <c r="AG16" s="989"/>
      <c r="AH16" s="989"/>
      <c r="AI16" s="990"/>
    </row>
    <row r="17" spans="2:35" ht="23" customHeight="1" x14ac:dyDescent="0.15">
      <c r="B17" s="638"/>
      <c r="C17" s="997" t="s">
        <v>465</v>
      </c>
      <c r="D17" s="998" t="s">
        <v>465</v>
      </c>
      <c r="E17" s="997" t="s">
        <v>467</v>
      </c>
      <c r="F17" s="997" t="s">
        <v>666</v>
      </c>
      <c r="G17" s="997" t="s">
        <v>469</v>
      </c>
      <c r="H17" s="997" t="s">
        <v>473</v>
      </c>
      <c r="I17" s="997" t="s">
        <v>703</v>
      </c>
      <c r="J17" s="997" t="s">
        <v>746</v>
      </c>
      <c r="K17" s="997" t="s">
        <v>988</v>
      </c>
      <c r="L17" s="997">
        <f>ejercicio-1</f>
        <v>2019</v>
      </c>
      <c r="M17" s="997">
        <f>ejercicio</f>
        <v>2020</v>
      </c>
      <c r="N17" s="997">
        <f>ejercicio</f>
        <v>2020</v>
      </c>
      <c r="O17" s="997">
        <f>ejercicio</f>
        <v>2020</v>
      </c>
      <c r="P17" s="997">
        <f>ejercicio</f>
        <v>2020</v>
      </c>
      <c r="Q17" s="997">
        <f>ejercicio</f>
        <v>2020</v>
      </c>
      <c r="R17" s="999" t="s">
        <v>668</v>
      </c>
      <c r="S17" s="1000" t="s">
        <v>669</v>
      </c>
      <c r="T17" s="626"/>
      <c r="V17" s="987"/>
      <c r="W17" s="989"/>
      <c r="X17" s="989"/>
      <c r="Y17" s="989"/>
      <c r="Z17" s="989"/>
      <c r="AA17" s="989"/>
      <c r="AB17" s="989"/>
      <c r="AC17" s="989"/>
      <c r="AD17" s="989"/>
      <c r="AE17" s="989"/>
      <c r="AF17" s="989"/>
      <c r="AG17" s="989"/>
      <c r="AH17" s="989"/>
      <c r="AI17" s="990"/>
    </row>
    <row r="18" spans="2:35" ht="23" customHeight="1" x14ac:dyDescent="0.15">
      <c r="B18" s="638"/>
      <c r="C18" s="520"/>
      <c r="D18" s="955"/>
      <c r="E18" s="954"/>
      <c r="F18" s="954"/>
      <c r="G18" s="1230"/>
      <c r="H18" s="1231"/>
      <c r="I18" s="1231"/>
      <c r="J18" s="789"/>
      <c r="K18" s="586"/>
      <c r="L18" s="586"/>
      <c r="M18" s="790"/>
      <c r="N18" s="790"/>
      <c r="O18" s="790"/>
      <c r="P18" s="719"/>
      <c r="Q18" s="1001">
        <f>L18+M18-N18</f>
        <v>0</v>
      </c>
      <c r="R18" s="849"/>
      <c r="S18" s="850"/>
      <c r="T18" s="626"/>
      <c r="V18" s="987"/>
      <c r="W18" s="989"/>
      <c r="X18" s="989"/>
      <c r="Y18" s="989"/>
      <c r="Z18" s="989"/>
      <c r="AA18" s="989"/>
      <c r="AB18" s="989"/>
      <c r="AC18" s="989"/>
      <c r="AD18" s="989"/>
      <c r="AE18" s="989"/>
      <c r="AF18" s="989"/>
      <c r="AG18" s="989"/>
      <c r="AH18" s="989"/>
      <c r="AI18" s="990"/>
    </row>
    <row r="19" spans="2:35" ht="23" customHeight="1" x14ac:dyDescent="0.15">
      <c r="B19" s="638"/>
      <c r="C19" s="520"/>
      <c r="D19" s="955"/>
      <c r="E19" s="1232"/>
      <c r="F19" s="954"/>
      <c r="G19" s="1230"/>
      <c r="H19" s="1231"/>
      <c r="I19" s="1231"/>
      <c r="J19" s="1231"/>
      <c r="K19" s="586"/>
      <c r="L19" s="586"/>
      <c r="M19" s="1027"/>
      <c r="N19" s="586"/>
      <c r="O19" s="586"/>
      <c r="P19" s="719"/>
      <c r="Q19" s="1001">
        <f t="shared" ref="Q19:Q42" si="0">L19+M19-N19</f>
        <v>0</v>
      </c>
      <c r="R19" s="851"/>
      <c r="S19" s="852"/>
      <c r="T19" s="626"/>
      <c r="V19" s="987"/>
      <c r="W19" s="989"/>
      <c r="X19" s="989"/>
      <c r="Y19" s="989"/>
      <c r="Z19" s="989"/>
      <c r="AA19" s="989"/>
      <c r="AB19" s="989"/>
      <c r="AC19" s="989"/>
      <c r="AD19" s="989"/>
      <c r="AE19" s="989"/>
      <c r="AF19" s="989"/>
      <c r="AG19" s="989"/>
      <c r="AH19" s="989"/>
      <c r="AI19" s="990"/>
    </row>
    <row r="20" spans="2:35" ht="23" customHeight="1" x14ac:dyDescent="0.15">
      <c r="B20" s="638"/>
      <c r="C20" s="520"/>
      <c r="D20" s="955"/>
      <c r="E20" s="954"/>
      <c r="F20" s="954"/>
      <c r="G20" s="1230"/>
      <c r="H20" s="1231"/>
      <c r="I20" s="1231"/>
      <c r="J20" s="1231"/>
      <c r="K20" s="586"/>
      <c r="L20" s="586"/>
      <c r="M20" s="586"/>
      <c r="N20" s="586"/>
      <c r="O20" s="586"/>
      <c r="P20" s="719"/>
      <c r="Q20" s="1001">
        <f t="shared" si="0"/>
        <v>0</v>
      </c>
      <c r="R20" s="851"/>
      <c r="S20" s="852"/>
      <c r="T20" s="626"/>
      <c r="V20" s="987"/>
      <c r="W20" s="989"/>
      <c r="X20" s="989"/>
      <c r="Y20" s="989"/>
      <c r="Z20" s="989"/>
      <c r="AA20" s="989"/>
      <c r="AB20" s="989"/>
      <c r="AC20" s="989"/>
      <c r="AD20" s="989"/>
      <c r="AE20" s="989"/>
      <c r="AF20" s="989"/>
      <c r="AG20" s="989"/>
      <c r="AH20" s="989"/>
      <c r="AI20" s="990"/>
    </row>
    <row r="21" spans="2:35" ht="23" customHeight="1" x14ac:dyDescent="0.15">
      <c r="B21" s="638"/>
      <c r="C21" s="520"/>
      <c r="D21" s="955"/>
      <c r="E21" s="954"/>
      <c r="F21" s="954"/>
      <c r="G21" s="1230"/>
      <c r="H21" s="1231"/>
      <c r="I21" s="1231"/>
      <c r="J21" s="1231"/>
      <c r="K21" s="586"/>
      <c r="L21" s="586"/>
      <c r="M21" s="586"/>
      <c r="N21" s="586"/>
      <c r="O21" s="586"/>
      <c r="P21" s="719"/>
      <c r="Q21" s="1001">
        <f t="shared" si="0"/>
        <v>0</v>
      </c>
      <c r="R21" s="851"/>
      <c r="S21" s="852"/>
      <c r="T21" s="626"/>
      <c r="V21" s="987"/>
      <c r="W21" s="989"/>
      <c r="X21" s="989"/>
      <c r="Y21" s="989"/>
      <c r="Z21" s="989"/>
      <c r="AA21" s="989"/>
      <c r="AB21" s="989"/>
      <c r="AC21" s="989"/>
      <c r="AD21" s="989"/>
      <c r="AE21" s="989"/>
      <c r="AF21" s="989"/>
      <c r="AG21" s="989"/>
      <c r="AH21" s="989"/>
      <c r="AI21" s="990"/>
    </row>
    <row r="22" spans="2:35" ht="23" customHeight="1" x14ac:dyDescent="0.15">
      <c r="B22" s="638"/>
      <c r="C22" s="520"/>
      <c r="D22" s="517"/>
      <c r="E22" s="954"/>
      <c r="F22" s="954"/>
      <c r="G22" s="520"/>
      <c r="H22" s="578"/>
      <c r="I22" s="578"/>
      <c r="J22" s="578"/>
      <c r="K22" s="586"/>
      <c r="L22" s="586"/>
      <c r="M22" s="586"/>
      <c r="N22" s="586"/>
      <c r="O22" s="586"/>
      <c r="P22" s="719"/>
      <c r="Q22" s="1001">
        <f t="shared" si="0"/>
        <v>0</v>
      </c>
      <c r="R22" s="851"/>
      <c r="S22" s="852"/>
      <c r="T22" s="626"/>
      <c r="V22" s="987"/>
      <c r="W22" s="989"/>
      <c r="X22" s="989"/>
      <c r="Y22" s="989"/>
      <c r="Z22" s="989"/>
      <c r="AA22" s="989"/>
      <c r="AB22" s="989"/>
      <c r="AC22" s="989"/>
      <c r="AD22" s="989"/>
      <c r="AE22" s="989"/>
      <c r="AF22" s="989"/>
      <c r="AG22" s="989"/>
      <c r="AH22" s="989"/>
      <c r="AI22" s="990"/>
    </row>
    <row r="23" spans="2:35" ht="23" customHeight="1" x14ac:dyDescent="0.15">
      <c r="B23" s="638"/>
      <c r="C23" s="520"/>
      <c r="D23" s="517"/>
      <c r="E23" s="954"/>
      <c r="F23" s="954"/>
      <c r="G23" s="520"/>
      <c r="H23" s="578"/>
      <c r="I23" s="578"/>
      <c r="J23" s="578"/>
      <c r="K23" s="586"/>
      <c r="L23" s="586"/>
      <c r="M23" s="586"/>
      <c r="N23" s="586"/>
      <c r="O23" s="586"/>
      <c r="P23" s="719"/>
      <c r="Q23" s="1001">
        <f t="shared" si="0"/>
        <v>0</v>
      </c>
      <c r="R23" s="851"/>
      <c r="S23" s="852"/>
      <c r="T23" s="626"/>
      <c r="V23" s="987"/>
      <c r="W23" s="989"/>
      <c r="X23" s="989"/>
      <c r="Y23" s="989"/>
      <c r="Z23" s="989"/>
      <c r="AA23" s="989"/>
      <c r="AB23" s="989"/>
      <c r="AC23" s="989"/>
      <c r="AD23" s="989"/>
      <c r="AE23" s="989"/>
      <c r="AF23" s="989"/>
      <c r="AG23" s="989"/>
      <c r="AH23" s="989"/>
      <c r="AI23" s="990"/>
    </row>
    <row r="24" spans="2:35" ht="23" customHeight="1" x14ac:dyDescent="0.15">
      <c r="B24" s="638"/>
      <c r="C24" s="520"/>
      <c r="D24" s="517"/>
      <c r="E24" s="954"/>
      <c r="F24" s="954"/>
      <c r="G24" s="520"/>
      <c r="H24" s="578"/>
      <c r="I24" s="578"/>
      <c r="J24" s="578"/>
      <c r="K24" s="586"/>
      <c r="L24" s="586"/>
      <c r="M24" s="586"/>
      <c r="N24" s="586"/>
      <c r="O24" s="586"/>
      <c r="P24" s="719"/>
      <c r="Q24" s="1001">
        <f t="shared" si="0"/>
        <v>0</v>
      </c>
      <c r="R24" s="851"/>
      <c r="S24" s="852"/>
      <c r="T24" s="626"/>
      <c r="V24" s="987"/>
      <c r="W24" s="989"/>
      <c r="X24" s="989"/>
      <c r="Y24" s="989"/>
      <c r="Z24" s="989"/>
      <c r="AA24" s="989"/>
      <c r="AB24" s="989"/>
      <c r="AC24" s="989"/>
      <c r="AD24" s="989"/>
      <c r="AE24" s="989"/>
      <c r="AF24" s="989"/>
      <c r="AG24" s="989"/>
      <c r="AH24" s="989"/>
      <c r="AI24" s="990"/>
    </row>
    <row r="25" spans="2:35" ht="23" customHeight="1" x14ac:dyDescent="0.15">
      <c r="B25" s="638"/>
      <c r="C25" s="520"/>
      <c r="D25" s="517"/>
      <c r="E25" s="954"/>
      <c r="F25" s="954"/>
      <c r="G25" s="520"/>
      <c r="H25" s="578"/>
      <c r="I25" s="578"/>
      <c r="J25" s="578"/>
      <c r="K25" s="586"/>
      <c r="L25" s="586"/>
      <c r="M25" s="586"/>
      <c r="N25" s="586"/>
      <c r="O25" s="586"/>
      <c r="P25" s="719"/>
      <c r="Q25" s="1001">
        <f t="shared" si="0"/>
        <v>0</v>
      </c>
      <c r="R25" s="851"/>
      <c r="S25" s="852"/>
      <c r="T25" s="626"/>
      <c r="V25" s="987"/>
      <c r="W25" s="989"/>
      <c r="X25" s="989"/>
      <c r="Y25" s="989"/>
      <c r="Z25" s="989"/>
      <c r="AA25" s="989"/>
      <c r="AB25" s="989"/>
      <c r="AC25" s="989"/>
      <c r="AD25" s="989"/>
      <c r="AE25" s="989"/>
      <c r="AF25" s="989"/>
      <c r="AG25" s="989"/>
      <c r="AH25" s="989"/>
      <c r="AI25" s="990"/>
    </row>
    <row r="26" spans="2:35" ht="23" customHeight="1" x14ac:dyDescent="0.15">
      <c r="B26" s="638"/>
      <c r="C26" s="520"/>
      <c r="D26" s="517"/>
      <c r="E26" s="954"/>
      <c r="F26" s="954"/>
      <c r="G26" s="520"/>
      <c r="H26" s="578"/>
      <c r="I26" s="578"/>
      <c r="J26" s="578"/>
      <c r="K26" s="586"/>
      <c r="L26" s="586"/>
      <c r="M26" s="586"/>
      <c r="N26" s="586"/>
      <c r="O26" s="586"/>
      <c r="P26" s="719"/>
      <c r="Q26" s="1001">
        <f t="shared" si="0"/>
        <v>0</v>
      </c>
      <c r="R26" s="851"/>
      <c r="S26" s="852"/>
      <c r="T26" s="626"/>
      <c r="V26" s="987"/>
      <c r="W26" s="989"/>
      <c r="X26" s="989"/>
      <c r="Y26" s="989"/>
      <c r="Z26" s="989"/>
      <c r="AA26" s="989"/>
      <c r="AB26" s="989"/>
      <c r="AC26" s="989"/>
      <c r="AD26" s="989"/>
      <c r="AE26" s="989"/>
      <c r="AF26" s="989"/>
      <c r="AG26" s="989"/>
      <c r="AH26" s="989"/>
      <c r="AI26" s="990"/>
    </row>
    <row r="27" spans="2:35" ht="23" customHeight="1" x14ac:dyDescent="0.15">
      <c r="B27" s="638"/>
      <c r="C27" s="520"/>
      <c r="D27" s="517"/>
      <c r="E27" s="954"/>
      <c r="F27" s="954"/>
      <c r="G27" s="520"/>
      <c r="H27" s="578"/>
      <c r="I27" s="578"/>
      <c r="J27" s="578"/>
      <c r="K27" s="586"/>
      <c r="L27" s="586"/>
      <c r="M27" s="586"/>
      <c r="N27" s="586"/>
      <c r="O27" s="586"/>
      <c r="P27" s="719"/>
      <c r="Q27" s="1001">
        <f t="shared" si="0"/>
        <v>0</v>
      </c>
      <c r="R27" s="851"/>
      <c r="S27" s="852"/>
      <c r="T27" s="626"/>
      <c r="V27" s="987"/>
      <c r="W27" s="989"/>
      <c r="X27" s="989"/>
      <c r="Y27" s="989"/>
      <c r="Z27" s="989"/>
      <c r="AA27" s="989"/>
      <c r="AB27" s="989"/>
      <c r="AC27" s="989"/>
      <c r="AD27" s="989"/>
      <c r="AE27" s="989"/>
      <c r="AF27" s="989"/>
      <c r="AG27" s="989"/>
      <c r="AH27" s="989"/>
      <c r="AI27" s="990"/>
    </row>
    <row r="28" spans="2:35" ht="23" customHeight="1" x14ac:dyDescent="0.15">
      <c r="B28" s="638"/>
      <c r="C28" s="520"/>
      <c r="D28" s="517"/>
      <c r="E28" s="578"/>
      <c r="F28" s="578"/>
      <c r="G28" s="520"/>
      <c r="H28" s="578"/>
      <c r="I28" s="578"/>
      <c r="J28" s="578"/>
      <c r="K28" s="586"/>
      <c r="L28" s="586"/>
      <c r="M28" s="586"/>
      <c r="N28" s="586"/>
      <c r="O28" s="586"/>
      <c r="P28" s="719"/>
      <c r="Q28" s="1001">
        <f t="shared" si="0"/>
        <v>0</v>
      </c>
      <c r="R28" s="851"/>
      <c r="S28" s="852"/>
      <c r="T28" s="626"/>
      <c r="V28" s="987"/>
      <c r="W28" s="989"/>
      <c r="X28" s="989"/>
      <c r="Y28" s="989"/>
      <c r="Z28" s="989"/>
      <c r="AA28" s="989"/>
      <c r="AB28" s="989"/>
      <c r="AC28" s="989"/>
      <c r="AD28" s="989"/>
      <c r="AE28" s="989"/>
      <c r="AF28" s="989"/>
      <c r="AG28" s="989"/>
      <c r="AH28" s="989"/>
      <c r="AI28" s="990"/>
    </row>
    <row r="29" spans="2:35" ht="23" customHeight="1" x14ac:dyDescent="0.15">
      <c r="B29" s="638"/>
      <c r="C29" s="520"/>
      <c r="D29" s="517"/>
      <c r="E29" s="578"/>
      <c r="F29" s="578"/>
      <c r="G29" s="520"/>
      <c r="H29" s="578"/>
      <c r="I29" s="578"/>
      <c r="J29" s="578"/>
      <c r="K29" s="586"/>
      <c r="L29" s="586"/>
      <c r="M29" s="586"/>
      <c r="N29" s="586"/>
      <c r="O29" s="586"/>
      <c r="P29" s="719"/>
      <c r="Q29" s="1001">
        <f t="shared" si="0"/>
        <v>0</v>
      </c>
      <c r="R29" s="851"/>
      <c r="S29" s="852"/>
      <c r="T29" s="626"/>
      <c r="V29" s="987"/>
      <c r="W29" s="989"/>
      <c r="X29" s="989"/>
      <c r="Y29" s="989"/>
      <c r="Z29" s="989"/>
      <c r="AA29" s="989"/>
      <c r="AB29" s="989"/>
      <c r="AC29" s="989"/>
      <c r="AD29" s="989"/>
      <c r="AE29" s="989"/>
      <c r="AF29" s="989"/>
      <c r="AG29" s="989"/>
      <c r="AH29" s="989"/>
      <c r="AI29" s="990"/>
    </row>
    <row r="30" spans="2:35" ht="23" customHeight="1" x14ac:dyDescent="0.15">
      <c r="B30" s="638"/>
      <c r="C30" s="520"/>
      <c r="D30" s="517"/>
      <c r="E30" s="578"/>
      <c r="F30" s="578"/>
      <c r="G30" s="520"/>
      <c r="H30" s="578"/>
      <c r="I30" s="578"/>
      <c r="J30" s="578"/>
      <c r="K30" s="586"/>
      <c r="L30" s="586"/>
      <c r="M30" s="586"/>
      <c r="N30" s="586"/>
      <c r="O30" s="586"/>
      <c r="P30" s="719"/>
      <c r="Q30" s="1001">
        <f t="shared" si="0"/>
        <v>0</v>
      </c>
      <c r="R30" s="851"/>
      <c r="S30" s="852"/>
      <c r="T30" s="626"/>
      <c r="V30" s="987"/>
      <c r="W30" s="989"/>
      <c r="X30" s="989"/>
      <c r="Y30" s="989"/>
      <c r="Z30" s="989"/>
      <c r="AA30" s="989"/>
      <c r="AB30" s="989"/>
      <c r="AC30" s="989"/>
      <c r="AD30" s="989"/>
      <c r="AE30" s="989"/>
      <c r="AF30" s="989"/>
      <c r="AG30" s="989"/>
      <c r="AH30" s="989"/>
      <c r="AI30" s="990"/>
    </row>
    <row r="31" spans="2:35" ht="23" customHeight="1" x14ac:dyDescent="0.15">
      <c r="B31" s="638"/>
      <c r="C31" s="520"/>
      <c r="D31" s="517"/>
      <c r="E31" s="578"/>
      <c r="F31" s="578"/>
      <c r="G31" s="520"/>
      <c r="H31" s="578"/>
      <c r="I31" s="578"/>
      <c r="J31" s="578"/>
      <c r="K31" s="586"/>
      <c r="L31" s="586"/>
      <c r="M31" s="586"/>
      <c r="N31" s="586"/>
      <c r="O31" s="586"/>
      <c r="P31" s="719"/>
      <c r="Q31" s="1001">
        <f t="shared" si="0"/>
        <v>0</v>
      </c>
      <c r="R31" s="851"/>
      <c r="S31" s="852"/>
      <c r="T31" s="626"/>
      <c r="V31" s="987"/>
      <c r="W31" s="989"/>
      <c r="X31" s="989"/>
      <c r="Y31" s="989"/>
      <c r="Z31" s="989"/>
      <c r="AA31" s="989"/>
      <c r="AB31" s="989"/>
      <c r="AC31" s="989"/>
      <c r="AD31" s="989"/>
      <c r="AE31" s="989"/>
      <c r="AF31" s="989"/>
      <c r="AG31" s="989"/>
      <c r="AH31" s="989"/>
      <c r="AI31" s="990"/>
    </row>
    <row r="32" spans="2:35" ht="23" customHeight="1" x14ac:dyDescent="0.15">
      <c r="B32" s="638"/>
      <c r="C32" s="520"/>
      <c r="D32" s="517"/>
      <c r="E32" s="578"/>
      <c r="F32" s="578"/>
      <c r="G32" s="520"/>
      <c r="H32" s="578"/>
      <c r="I32" s="578"/>
      <c r="J32" s="578"/>
      <c r="K32" s="586"/>
      <c r="L32" s="586"/>
      <c r="M32" s="586"/>
      <c r="N32" s="586"/>
      <c r="O32" s="586"/>
      <c r="P32" s="719"/>
      <c r="Q32" s="1001">
        <f t="shared" si="0"/>
        <v>0</v>
      </c>
      <c r="R32" s="851"/>
      <c r="S32" s="852"/>
      <c r="T32" s="626"/>
      <c r="V32" s="987"/>
      <c r="W32" s="989"/>
      <c r="X32" s="989"/>
      <c r="Y32" s="989"/>
      <c r="Z32" s="989"/>
      <c r="AA32" s="989"/>
      <c r="AB32" s="989"/>
      <c r="AC32" s="989"/>
      <c r="AD32" s="989"/>
      <c r="AE32" s="989"/>
      <c r="AF32" s="989"/>
      <c r="AG32" s="989"/>
      <c r="AH32" s="989"/>
      <c r="AI32" s="990"/>
    </row>
    <row r="33" spans="2:35" ht="23" customHeight="1" x14ac:dyDescent="0.15">
      <c r="B33" s="638"/>
      <c r="C33" s="520"/>
      <c r="D33" s="517"/>
      <c r="E33" s="578"/>
      <c r="F33" s="578"/>
      <c r="G33" s="520"/>
      <c r="H33" s="578"/>
      <c r="I33" s="578"/>
      <c r="J33" s="578"/>
      <c r="K33" s="586"/>
      <c r="L33" s="586"/>
      <c r="M33" s="586"/>
      <c r="N33" s="586"/>
      <c r="O33" s="586"/>
      <c r="P33" s="719"/>
      <c r="Q33" s="1001">
        <f>L33+M33-N33</f>
        <v>0</v>
      </c>
      <c r="R33" s="851"/>
      <c r="S33" s="852"/>
      <c r="T33" s="626"/>
      <c r="V33" s="987"/>
      <c r="W33" s="989"/>
      <c r="X33" s="989"/>
      <c r="Y33" s="989"/>
      <c r="Z33" s="989"/>
      <c r="AA33" s="989"/>
      <c r="AB33" s="989"/>
      <c r="AC33" s="989"/>
      <c r="AD33" s="989"/>
      <c r="AE33" s="989"/>
      <c r="AF33" s="989"/>
      <c r="AG33" s="989"/>
      <c r="AH33" s="989"/>
      <c r="AI33" s="990"/>
    </row>
    <row r="34" spans="2:35" ht="23" customHeight="1" x14ac:dyDescent="0.15">
      <c r="B34" s="638"/>
      <c r="C34" s="520"/>
      <c r="D34" s="517"/>
      <c r="E34" s="578"/>
      <c r="F34" s="578"/>
      <c r="G34" s="520"/>
      <c r="H34" s="578"/>
      <c r="I34" s="578"/>
      <c r="J34" s="578"/>
      <c r="K34" s="586"/>
      <c r="L34" s="586"/>
      <c r="M34" s="586"/>
      <c r="N34" s="586"/>
      <c r="O34" s="586"/>
      <c r="P34" s="719"/>
      <c r="Q34" s="1001">
        <f t="shared" si="0"/>
        <v>0</v>
      </c>
      <c r="R34" s="851"/>
      <c r="S34" s="852"/>
      <c r="T34" s="626"/>
      <c r="V34" s="987"/>
      <c r="W34" s="989"/>
      <c r="X34" s="989"/>
      <c r="Y34" s="989"/>
      <c r="Z34" s="989"/>
      <c r="AA34" s="989"/>
      <c r="AB34" s="989"/>
      <c r="AC34" s="989"/>
      <c r="AD34" s="989"/>
      <c r="AE34" s="989"/>
      <c r="AF34" s="989"/>
      <c r="AG34" s="989"/>
      <c r="AH34" s="989"/>
      <c r="AI34" s="990"/>
    </row>
    <row r="35" spans="2:35" ht="23" customHeight="1" x14ac:dyDescent="0.15">
      <c r="B35" s="638"/>
      <c r="C35" s="520"/>
      <c r="D35" s="517"/>
      <c r="E35" s="578"/>
      <c r="F35" s="578"/>
      <c r="G35" s="520"/>
      <c r="H35" s="578"/>
      <c r="I35" s="578"/>
      <c r="J35" s="578"/>
      <c r="K35" s="586"/>
      <c r="L35" s="586"/>
      <c r="M35" s="586"/>
      <c r="N35" s="586"/>
      <c r="O35" s="586"/>
      <c r="P35" s="719"/>
      <c r="Q35" s="1001">
        <f t="shared" si="0"/>
        <v>0</v>
      </c>
      <c r="R35" s="851"/>
      <c r="S35" s="852"/>
      <c r="T35" s="626"/>
      <c r="V35" s="987"/>
      <c r="W35" s="989"/>
      <c r="X35" s="989"/>
      <c r="Y35" s="989"/>
      <c r="Z35" s="989"/>
      <c r="AA35" s="989"/>
      <c r="AB35" s="989"/>
      <c r="AC35" s="989"/>
      <c r="AD35" s="989"/>
      <c r="AE35" s="989"/>
      <c r="AF35" s="989"/>
      <c r="AG35" s="989"/>
      <c r="AH35" s="989"/>
      <c r="AI35" s="990"/>
    </row>
    <row r="36" spans="2:35" ht="23" customHeight="1" x14ac:dyDescent="0.15">
      <c r="B36" s="638"/>
      <c r="C36" s="520"/>
      <c r="D36" s="517"/>
      <c r="E36" s="578"/>
      <c r="F36" s="578"/>
      <c r="G36" s="520"/>
      <c r="H36" s="578"/>
      <c r="I36" s="578"/>
      <c r="J36" s="578"/>
      <c r="K36" s="586"/>
      <c r="L36" s="586"/>
      <c r="M36" s="586"/>
      <c r="N36" s="586"/>
      <c r="O36" s="586"/>
      <c r="P36" s="719"/>
      <c r="Q36" s="1001">
        <f t="shared" si="0"/>
        <v>0</v>
      </c>
      <c r="R36" s="851"/>
      <c r="S36" s="852"/>
      <c r="T36" s="626"/>
      <c r="V36" s="987"/>
      <c r="W36" s="989"/>
      <c r="X36" s="989"/>
      <c r="Y36" s="989"/>
      <c r="Z36" s="989"/>
      <c r="AA36" s="989"/>
      <c r="AB36" s="989"/>
      <c r="AC36" s="989"/>
      <c r="AD36" s="989"/>
      <c r="AE36" s="989"/>
      <c r="AF36" s="989"/>
      <c r="AG36" s="989"/>
      <c r="AH36" s="989"/>
      <c r="AI36" s="990"/>
    </row>
    <row r="37" spans="2:35" ht="23" customHeight="1" x14ac:dyDescent="0.15">
      <c r="B37" s="638"/>
      <c r="C37" s="520"/>
      <c r="D37" s="517"/>
      <c r="E37" s="578"/>
      <c r="F37" s="578"/>
      <c r="G37" s="520"/>
      <c r="H37" s="578"/>
      <c r="I37" s="578"/>
      <c r="J37" s="578"/>
      <c r="K37" s="586"/>
      <c r="L37" s="586"/>
      <c r="M37" s="586"/>
      <c r="N37" s="586"/>
      <c r="O37" s="586"/>
      <c r="P37" s="719"/>
      <c r="Q37" s="1001">
        <f t="shared" si="0"/>
        <v>0</v>
      </c>
      <c r="R37" s="851"/>
      <c r="S37" s="852"/>
      <c r="T37" s="626"/>
      <c r="V37" s="987"/>
      <c r="W37" s="989"/>
      <c r="X37" s="989"/>
      <c r="Y37" s="989"/>
      <c r="Z37" s="989"/>
      <c r="AA37" s="989"/>
      <c r="AB37" s="989"/>
      <c r="AC37" s="989"/>
      <c r="AD37" s="989"/>
      <c r="AE37" s="989"/>
      <c r="AF37" s="989"/>
      <c r="AG37" s="989"/>
      <c r="AH37" s="989"/>
      <c r="AI37" s="990"/>
    </row>
    <row r="38" spans="2:35" ht="23" customHeight="1" x14ac:dyDescent="0.15">
      <c r="B38" s="638"/>
      <c r="C38" s="520"/>
      <c r="D38" s="517"/>
      <c r="E38" s="578"/>
      <c r="F38" s="578"/>
      <c r="G38" s="520"/>
      <c r="H38" s="578"/>
      <c r="I38" s="578"/>
      <c r="J38" s="578"/>
      <c r="K38" s="586"/>
      <c r="L38" s="586"/>
      <c r="M38" s="586"/>
      <c r="N38" s="586"/>
      <c r="O38" s="586"/>
      <c r="P38" s="719"/>
      <c r="Q38" s="1001">
        <f t="shared" si="0"/>
        <v>0</v>
      </c>
      <c r="R38" s="851"/>
      <c r="S38" s="852"/>
      <c r="T38" s="626"/>
      <c r="V38" s="987"/>
      <c r="W38" s="989"/>
      <c r="X38" s="989"/>
      <c r="Y38" s="989"/>
      <c r="Z38" s="989"/>
      <c r="AA38" s="989"/>
      <c r="AB38" s="989"/>
      <c r="AC38" s="989"/>
      <c r="AD38" s="989"/>
      <c r="AE38" s="989"/>
      <c r="AF38" s="989"/>
      <c r="AG38" s="989"/>
      <c r="AH38" s="989"/>
      <c r="AI38" s="990"/>
    </row>
    <row r="39" spans="2:35" ht="23" customHeight="1" x14ac:dyDescent="0.15">
      <c r="B39" s="638"/>
      <c r="C39" s="520"/>
      <c r="D39" s="517"/>
      <c r="E39" s="578"/>
      <c r="F39" s="578"/>
      <c r="G39" s="520"/>
      <c r="H39" s="578"/>
      <c r="I39" s="578"/>
      <c r="J39" s="578"/>
      <c r="K39" s="586"/>
      <c r="L39" s="586"/>
      <c r="M39" s="586"/>
      <c r="N39" s="586"/>
      <c r="O39" s="586"/>
      <c r="P39" s="719"/>
      <c r="Q39" s="1001">
        <f t="shared" si="0"/>
        <v>0</v>
      </c>
      <c r="R39" s="851"/>
      <c r="S39" s="852"/>
      <c r="T39" s="626"/>
      <c r="V39" s="987"/>
      <c r="W39" s="989"/>
      <c r="X39" s="989"/>
      <c r="Y39" s="989"/>
      <c r="Z39" s="989"/>
      <c r="AA39" s="989"/>
      <c r="AB39" s="989"/>
      <c r="AC39" s="989"/>
      <c r="AD39" s="989"/>
      <c r="AE39" s="989"/>
      <c r="AF39" s="989"/>
      <c r="AG39" s="989"/>
      <c r="AH39" s="989"/>
      <c r="AI39" s="990"/>
    </row>
    <row r="40" spans="2:35" ht="23" customHeight="1" x14ac:dyDescent="0.15">
      <c r="B40" s="638"/>
      <c r="C40" s="520"/>
      <c r="D40" s="517"/>
      <c r="E40" s="578"/>
      <c r="F40" s="578"/>
      <c r="G40" s="520"/>
      <c r="H40" s="578"/>
      <c r="I40" s="578"/>
      <c r="J40" s="578"/>
      <c r="K40" s="586"/>
      <c r="L40" s="586"/>
      <c r="M40" s="586"/>
      <c r="N40" s="586"/>
      <c r="O40" s="586"/>
      <c r="P40" s="719"/>
      <c r="Q40" s="1001">
        <f t="shared" si="0"/>
        <v>0</v>
      </c>
      <c r="R40" s="851"/>
      <c r="S40" s="852"/>
      <c r="T40" s="626"/>
      <c r="V40" s="987"/>
      <c r="W40" s="989"/>
      <c r="X40" s="989"/>
      <c r="Y40" s="989"/>
      <c r="Z40" s="989"/>
      <c r="AA40" s="989"/>
      <c r="AB40" s="989"/>
      <c r="AC40" s="989"/>
      <c r="AD40" s="989"/>
      <c r="AE40" s="989"/>
      <c r="AF40" s="989"/>
      <c r="AG40" s="989"/>
      <c r="AH40" s="989"/>
      <c r="AI40" s="990"/>
    </row>
    <row r="41" spans="2:35" ht="23" customHeight="1" x14ac:dyDescent="0.15">
      <c r="B41" s="638"/>
      <c r="C41" s="520"/>
      <c r="D41" s="518"/>
      <c r="E41" s="579"/>
      <c r="F41" s="579"/>
      <c r="G41" s="521"/>
      <c r="H41" s="579"/>
      <c r="I41" s="579"/>
      <c r="J41" s="579"/>
      <c r="K41" s="587"/>
      <c r="L41" s="587"/>
      <c r="M41" s="587"/>
      <c r="N41" s="587"/>
      <c r="O41" s="587"/>
      <c r="P41" s="720"/>
      <c r="Q41" s="1002">
        <f>L41+M41-N41</f>
        <v>0</v>
      </c>
      <c r="R41" s="851"/>
      <c r="S41" s="852"/>
      <c r="T41" s="626"/>
      <c r="V41" s="987"/>
      <c r="W41" s="989"/>
      <c r="X41" s="989"/>
      <c r="Y41" s="989"/>
      <c r="Z41" s="989"/>
      <c r="AA41" s="989"/>
      <c r="AB41" s="989"/>
      <c r="AC41" s="989"/>
      <c r="AD41" s="989"/>
      <c r="AE41" s="989"/>
      <c r="AF41" s="989"/>
      <c r="AG41" s="989"/>
      <c r="AH41" s="989"/>
      <c r="AI41" s="990"/>
    </row>
    <row r="42" spans="2:35" ht="23" customHeight="1" x14ac:dyDescent="0.15">
      <c r="B42" s="638"/>
      <c r="C42" s="522"/>
      <c r="D42" s="519"/>
      <c r="E42" s="580"/>
      <c r="F42" s="580"/>
      <c r="G42" s="522"/>
      <c r="H42" s="580"/>
      <c r="I42" s="580"/>
      <c r="J42" s="580"/>
      <c r="K42" s="588"/>
      <c r="L42" s="588"/>
      <c r="M42" s="588"/>
      <c r="N42" s="588"/>
      <c r="O42" s="588"/>
      <c r="P42" s="721"/>
      <c r="Q42" s="1003">
        <f t="shared" si="0"/>
        <v>0</v>
      </c>
      <c r="R42" s="853"/>
      <c r="S42" s="854"/>
      <c r="T42" s="626"/>
      <c r="V42" s="987"/>
      <c r="W42" s="989"/>
      <c r="X42" s="989"/>
      <c r="Y42" s="989"/>
      <c r="Z42" s="989"/>
      <c r="AA42" s="989"/>
      <c r="AB42" s="989"/>
      <c r="AC42" s="989"/>
      <c r="AD42" s="989"/>
      <c r="AE42" s="989"/>
      <c r="AF42" s="989"/>
      <c r="AG42" s="989"/>
      <c r="AH42" s="989"/>
      <c r="AI42" s="990"/>
    </row>
    <row r="43" spans="2:35" ht="23" customHeight="1" thickBot="1" x14ac:dyDescent="0.2">
      <c r="B43" s="638"/>
      <c r="C43" s="616"/>
      <c r="D43" s="616"/>
      <c r="E43" s="981"/>
      <c r="F43" s="981"/>
      <c r="G43" s="981"/>
      <c r="H43" s="1487" t="s">
        <v>471</v>
      </c>
      <c r="I43" s="1488"/>
      <c r="J43" s="1489"/>
      <c r="K43" s="1004">
        <f t="shared" ref="K43:S43" si="1">SUM(K18:K42)</f>
        <v>0</v>
      </c>
      <c r="L43" s="1005">
        <f t="shared" si="1"/>
        <v>0</v>
      </c>
      <c r="M43" s="1006">
        <f t="shared" si="1"/>
        <v>0</v>
      </c>
      <c r="N43" s="1006">
        <f t="shared" si="1"/>
        <v>0</v>
      </c>
      <c r="O43" s="1004">
        <f t="shared" si="1"/>
        <v>0</v>
      </c>
      <c r="P43" s="1004">
        <f t="shared" si="1"/>
        <v>0</v>
      </c>
      <c r="Q43" s="1007">
        <f t="shared" si="1"/>
        <v>0</v>
      </c>
      <c r="R43" s="1006">
        <f t="shared" si="1"/>
        <v>0</v>
      </c>
      <c r="S43" s="674">
        <f t="shared" si="1"/>
        <v>0</v>
      </c>
      <c r="T43" s="626"/>
      <c r="V43" s="1008"/>
      <c r="W43" s="989"/>
      <c r="X43" s="989"/>
      <c r="Y43" s="989"/>
      <c r="Z43" s="989"/>
      <c r="AA43" s="989"/>
      <c r="AB43" s="989"/>
      <c r="AC43" s="989"/>
      <c r="AD43" s="989"/>
      <c r="AE43" s="989"/>
      <c r="AF43" s="989"/>
      <c r="AG43" s="989"/>
      <c r="AH43" s="989"/>
      <c r="AI43" s="990"/>
    </row>
    <row r="44" spans="2:35" ht="23" customHeight="1" x14ac:dyDescent="0.15">
      <c r="B44" s="638"/>
      <c r="C44" s="616"/>
      <c r="D44" s="616"/>
      <c r="E44" s="981"/>
      <c r="F44" s="981"/>
      <c r="G44" s="981"/>
      <c r="H44" s="1009"/>
      <c r="I44" s="1009"/>
      <c r="J44" s="1009"/>
      <c r="K44" s="981"/>
      <c r="L44" s="981"/>
      <c r="M44" s="981"/>
      <c r="N44" s="981"/>
      <c r="O44" s="981"/>
      <c r="P44" s="981"/>
      <c r="Q44" s="981"/>
      <c r="R44" s="981"/>
      <c r="S44" s="981"/>
      <c r="T44" s="626"/>
      <c r="V44" s="1008"/>
      <c r="W44" s="989"/>
      <c r="X44" s="989"/>
      <c r="Y44" s="989"/>
      <c r="Z44" s="989"/>
      <c r="AA44" s="989"/>
      <c r="AB44" s="989"/>
      <c r="AC44" s="989"/>
      <c r="AD44" s="989"/>
      <c r="AE44" s="989"/>
      <c r="AF44" s="989"/>
      <c r="AG44" s="989"/>
      <c r="AH44" s="989"/>
      <c r="AI44" s="990"/>
    </row>
    <row r="45" spans="2:35" ht="23" customHeight="1" x14ac:dyDescent="0.15">
      <c r="B45" s="638"/>
      <c r="C45" s="992" t="s">
        <v>819</v>
      </c>
      <c r="D45" s="958"/>
      <c r="E45" s="636"/>
      <c r="F45" s="636"/>
      <c r="G45" s="636"/>
      <c r="H45" s="636"/>
      <c r="I45" s="636"/>
      <c r="J45" s="636"/>
      <c r="K45" s="636"/>
      <c r="L45" s="636"/>
      <c r="M45" s="636"/>
      <c r="N45" s="636"/>
      <c r="O45" s="636"/>
      <c r="P45" s="636"/>
      <c r="Q45" s="636"/>
      <c r="R45" s="636"/>
      <c r="S45" s="636"/>
      <c r="T45" s="626"/>
      <c r="V45" s="987"/>
      <c r="W45" s="989"/>
      <c r="X45" s="989"/>
      <c r="Y45" s="989"/>
      <c r="Z45" s="989"/>
      <c r="AA45" s="989"/>
      <c r="AB45" s="989"/>
      <c r="AC45" s="989"/>
      <c r="AD45" s="989"/>
      <c r="AE45" s="989"/>
      <c r="AF45" s="989"/>
      <c r="AG45" s="989"/>
      <c r="AH45" s="989"/>
      <c r="AI45" s="990"/>
    </row>
    <row r="46" spans="2:35" ht="23" customHeight="1" x14ac:dyDescent="0.15">
      <c r="B46" s="638"/>
      <c r="C46" s="958"/>
      <c r="D46" s="958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636"/>
      <c r="P46" s="636"/>
      <c r="Q46" s="636"/>
      <c r="R46" s="636"/>
      <c r="S46" s="636"/>
      <c r="T46" s="626"/>
      <c r="V46" s="987"/>
      <c r="W46" s="989"/>
      <c r="X46" s="989"/>
      <c r="Y46" s="989"/>
      <c r="Z46" s="989"/>
      <c r="AA46" s="989"/>
      <c r="AB46" s="989"/>
      <c r="AC46" s="989"/>
      <c r="AD46" s="989"/>
      <c r="AE46" s="989"/>
      <c r="AF46" s="989"/>
      <c r="AG46" s="989"/>
      <c r="AH46" s="989"/>
      <c r="AI46" s="990"/>
    </row>
    <row r="47" spans="2:35" ht="23" customHeight="1" x14ac:dyDescent="0.15">
      <c r="B47" s="638"/>
      <c r="C47" s="958"/>
      <c r="D47" s="958"/>
      <c r="E47" s="636"/>
      <c r="F47" s="636"/>
      <c r="G47" s="636"/>
      <c r="H47" s="636"/>
      <c r="I47" s="636"/>
      <c r="J47" s="636"/>
      <c r="K47" s="636"/>
      <c r="L47" s="636"/>
      <c r="M47" s="636"/>
      <c r="N47" s="636"/>
      <c r="O47" s="636"/>
      <c r="P47" s="636"/>
      <c r="Q47" s="636"/>
      <c r="R47" s="636"/>
      <c r="S47" s="636"/>
      <c r="T47" s="626"/>
      <c r="V47" s="987"/>
      <c r="W47" s="989"/>
      <c r="X47" s="989"/>
      <c r="Y47" s="989"/>
      <c r="Z47" s="989"/>
      <c r="AA47" s="989"/>
      <c r="AB47" s="989"/>
      <c r="AC47" s="989"/>
      <c r="AD47" s="989"/>
      <c r="AE47" s="989"/>
      <c r="AF47" s="989"/>
      <c r="AG47" s="989"/>
      <c r="AH47" s="989"/>
      <c r="AI47" s="990"/>
    </row>
    <row r="48" spans="2:35" ht="42" customHeight="1" x14ac:dyDescent="0.15">
      <c r="B48" s="638"/>
      <c r="C48" s="993" t="s">
        <v>464</v>
      </c>
      <c r="D48" s="994" t="s">
        <v>466</v>
      </c>
      <c r="E48" s="993" t="s">
        <v>665</v>
      </c>
      <c r="F48" s="993" t="s">
        <v>665</v>
      </c>
      <c r="G48" s="993" t="s">
        <v>468</v>
      </c>
      <c r="H48" s="993" t="s">
        <v>472</v>
      </c>
      <c r="I48" s="993" t="s">
        <v>474</v>
      </c>
      <c r="J48" s="993" t="s">
        <v>718</v>
      </c>
      <c r="K48" s="993" t="s">
        <v>470</v>
      </c>
      <c r="L48" s="993" t="s">
        <v>667</v>
      </c>
      <c r="M48" s="995" t="s">
        <v>678</v>
      </c>
      <c r="N48" s="993" t="s">
        <v>989</v>
      </c>
      <c r="O48" s="993" t="s">
        <v>990</v>
      </c>
      <c r="P48" s="996" t="s">
        <v>991</v>
      </c>
      <c r="Q48" s="993" t="s">
        <v>667</v>
      </c>
      <c r="R48" s="1485" t="s">
        <v>992</v>
      </c>
      <c r="S48" s="1486"/>
      <c r="T48" s="626"/>
      <c r="V48" s="987"/>
      <c r="W48" s="989"/>
      <c r="X48" s="989"/>
      <c r="Y48" s="989"/>
      <c r="Z48" s="989"/>
      <c r="AA48" s="989"/>
      <c r="AB48" s="989"/>
      <c r="AC48" s="989"/>
      <c r="AD48" s="989"/>
      <c r="AE48" s="989"/>
      <c r="AF48" s="989"/>
      <c r="AG48" s="989"/>
      <c r="AH48" s="989"/>
      <c r="AI48" s="990"/>
    </row>
    <row r="49" spans="2:35" ht="23" customHeight="1" x14ac:dyDescent="0.15">
      <c r="B49" s="638"/>
      <c r="C49" s="997" t="s">
        <v>465</v>
      </c>
      <c r="D49" s="998" t="s">
        <v>465</v>
      </c>
      <c r="E49" s="997" t="s">
        <v>467</v>
      </c>
      <c r="F49" s="997" t="s">
        <v>666</v>
      </c>
      <c r="G49" s="997" t="s">
        <v>820</v>
      </c>
      <c r="H49" s="997" t="s">
        <v>473</v>
      </c>
      <c r="I49" s="997" t="s">
        <v>703</v>
      </c>
      <c r="J49" s="997" t="s">
        <v>746</v>
      </c>
      <c r="K49" s="997" t="s">
        <v>988</v>
      </c>
      <c r="L49" s="997">
        <f>ejercicio-1</f>
        <v>2019</v>
      </c>
      <c r="M49" s="997">
        <f>ejercicio</f>
        <v>2020</v>
      </c>
      <c r="N49" s="997">
        <f>ejercicio</f>
        <v>2020</v>
      </c>
      <c r="O49" s="997">
        <f>ejercicio</f>
        <v>2020</v>
      </c>
      <c r="P49" s="997">
        <f>ejercicio</f>
        <v>2020</v>
      </c>
      <c r="Q49" s="997">
        <f>ejercicio</f>
        <v>2020</v>
      </c>
      <c r="R49" s="999" t="s">
        <v>668</v>
      </c>
      <c r="S49" s="1000" t="s">
        <v>669</v>
      </c>
      <c r="T49" s="626"/>
      <c r="V49" s="987"/>
      <c r="W49" s="989"/>
      <c r="X49" s="989"/>
      <c r="Y49" s="989"/>
      <c r="Z49" s="989"/>
      <c r="AA49" s="989"/>
      <c r="AB49" s="989"/>
      <c r="AC49" s="989"/>
      <c r="AD49" s="989"/>
      <c r="AE49" s="989"/>
      <c r="AF49" s="989"/>
      <c r="AG49" s="989"/>
      <c r="AH49" s="989"/>
      <c r="AI49" s="990"/>
    </row>
    <row r="50" spans="2:35" ht="23" customHeight="1" x14ac:dyDescent="0.15">
      <c r="B50" s="638"/>
      <c r="C50" s="520"/>
      <c r="D50" s="955"/>
      <c r="E50" s="578"/>
      <c r="F50" s="578"/>
      <c r="G50" s="1230"/>
      <c r="H50" s="578"/>
      <c r="I50" s="1231"/>
      <c r="J50" s="789"/>
      <c r="K50" s="586"/>
      <c r="L50" s="586"/>
      <c r="M50" s="790"/>
      <c r="N50" s="790"/>
      <c r="O50" s="790"/>
      <c r="P50" s="719"/>
      <c r="Q50" s="1010">
        <f>L50+M50-N50</f>
        <v>0</v>
      </c>
      <c r="R50" s="849"/>
      <c r="S50" s="850"/>
      <c r="T50" s="626"/>
      <c r="V50" s="987"/>
      <c r="W50" s="989"/>
      <c r="X50" s="989"/>
      <c r="Y50" s="989"/>
      <c r="Z50" s="989"/>
      <c r="AA50" s="989"/>
      <c r="AB50" s="989"/>
      <c r="AC50" s="989"/>
      <c r="AD50" s="989"/>
      <c r="AE50" s="989"/>
      <c r="AF50" s="989"/>
      <c r="AG50" s="989"/>
      <c r="AH50" s="989"/>
      <c r="AI50" s="990"/>
    </row>
    <row r="51" spans="2:35" ht="23" customHeight="1" x14ac:dyDescent="0.15">
      <c r="B51" s="638"/>
      <c r="C51" s="520">
        <v>1</v>
      </c>
      <c r="D51" s="955" t="s">
        <v>1078</v>
      </c>
      <c r="E51" s="954">
        <v>43455</v>
      </c>
      <c r="F51" s="1351">
        <v>46813</v>
      </c>
      <c r="G51" s="1230" t="s">
        <v>1079</v>
      </c>
      <c r="H51" s="1231">
        <v>173</v>
      </c>
      <c r="I51" s="1231"/>
      <c r="J51" s="1231"/>
      <c r="K51" s="586"/>
      <c r="L51" s="586">
        <v>1779125.89</v>
      </c>
      <c r="M51" s="586"/>
      <c r="N51" s="586">
        <v>228500</v>
      </c>
      <c r="O51" s="586"/>
      <c r="P51" s="719"/>
      <c r="Q51" s="1001">
        <f t="shared" ref="Q51:Q74" si="2">L51+M51-N51</f>
        <v>1550625.89</v>
      </c>
      <c r="R51" s="851">
        <v>228500</v>
      </c>
      <c r="S51" s="852">
        <f>1550625.89-228500</f>
        <v>1322125.8899999999</v>
      </c>
      <c r="T51" s="626"/>
      <c r="V51" s="987"/>
      <c r="W51" s="989"/>
      <c r="X51" s="989"/>
      <c r="Y51" s="989"/>
      <c r="Z51" s="989"/>
      <c r="AA51" s="989"/>
      <c r="AB51" s="989"/>
      <c r="AC51" s="989"/>
      <c r="AD51" s="989"/>
      <c r="AE51" s="989"/>
      <c r="AF51" s="989"/>
      <c r="AG51" s="989"/>
      <c r="AH51" s="989"/>
      <c r="AI51" s="990"/>
    </row>
    <row r="52" spans="2:35" ht="23" customHeight="1" x14ac:dyDescent="0.15">
      <c r="B52" s="638"/>
      <c r="C52" s="520">
        <v>2</v>
      </c>
      <c r="D52" s="955" t="s">
        <v>1080</v>
      </c>
      <c r="E52" s="578" t="s">
        <v>654</v>
      </c>
      <c r="F52" s="578"/>
      <c r="G52" s="1230" t="s">
        <v>1081</v>
      </c>
      <c r="H52" s="578">
        <v>171</v>
      </c>
      <c r="I52" s="578"/>
      <c r="J52" s="578"/>
      <c r="K52" s="586"/>
      <c r="L52" s="586">
        <v>68787.38</v>
      </c>
      <c r="M52" s="586"/>
      <c r="N52" s="586"/>
      <c r="O52" s="586"/>
      <c r="P52" s="719"/>
      <c r="Q52" s="1001">
        <f t="shared" si="2"/>
        <v>68787.38</v>
      </c>
      <c r="R52" s="851"/>
      <c r="S52" s="852">
        <v>68787.38</v>
      </c>
      <c r="T52" s="626"/>
      <c r="V52" s="987"/>
      <c r="W52" s="989"/>
      <c r="X52" s="989"/>
      <c r="Y52" s="989"/>
      <c r="Z52" s="989"/>
      <c r="AA52" s="989"/>
      <c r="AB52" s="989"/>
      <c r="AC52" s="989"/>
      <c r="AD52" s="989"/>
      <c r="AE52" s="989"/>
      <c r="AF52" s="989"/>
      <c r="AG52" s="989"/>
      <c r="AH52" s="989"/>
      <c r="AI52" s="990"/>
    </row>
    <row r="53" spans="2:35" ht="23" customHeight="1" x14ac:dyDescent="0.15">
      <c r="B53" s="638"/>
      <c r="C53" s="520"/>
      <c r="D53" s="955" t="s">
        <v>1082</v>
      </c>
      <c r="E53" s="578"/>
      <c r="F53" s="578"/>
      <c r="G53" s="1230" t="s">
        <v>1083</v>
      </c>
      <c r="H53" s="578">
        <v>560</v>
      </c>
      <c r="I53" s="578"/>
      <c r="J53" s="578"/>
      <c r="K53" s="586"/>
      <c r="L53" s="586">
        <v>1050</v>
      </c>
      <c r="M53" s="586"/>
      <c r="N53" s="586"/>
      <c r="O53" s="586"/>
      <c r="P53" s="719"/>
      <c r="Q53" s="1001">
        <f t="shared" si="2"/>
        <v>1050</v>
      </c>
      <c r="R53" s="851">
        <v>1050</v>
      </c>
      <c r="S53" s="852"/>
      <c r="T53" s="626"/>
      <c r="V53" s="987"/>
      <c r="W53" s="989"/>
      <c r="X53" s="989"/>
      <c r="Y53" s="989"/>
      <c r="Z53" s="989"/>
      <c r="AA53" s="989"/>
      <c r="AB53" s="989"/>
      <c r="AC53" s="989"/>
      <c r="AD53" s="989"/>
      <c r="AE53" s="989"/>
      <c r="AF53" s="989"/>
      <c r="AG53" s="989"/>
      <c r="AH53" s="989"/>
      <c r="AI53" s="990"/>
    </row>
    <row r="54" spans="2:35" ht="23" customHeight="1" x14ac:dyDescent="0.15">
      <c r="B54" s="638"/>
      <c r="C54" s="520"/>
      <c r="D54" s="955"/>
      <c r="E54" s="578"/>
      <c r="F54" s="578"/>
      <c r="G54" s="1230"/>
      <c r="H54" s="578"/>
      <c r="I54" s="578"/>
      <c r="J54" s="578"/>
      <c r="K54" s="586"/>
      <c r="L54" s="586"/>
      <c r="M54" s="586"/>
      <c r="N54" s="586"/>
      <c r="O54" s="586"/>
      <c r="P54" s="719"/>
      <c r="Q54" s="1001">
        <f t="shared" si="2"/>
        <v>0</v>
      </c>
      <c r="R54" s="851"/>
      <c r="S54" s="852"/>
      <c r="T54" s="626"/>
      <c r="V54" s="987"/>
      <c r="W54" s="989"/>
      <c r="X54" s="989"/>
      <c r="Y54" s="989"/>
      <c r="Z54" s="989"/>
      <c r="AA54" s="989"/>
      <c r="AB54" s="989"/>
      <c r="AC54" s="989"/>
      <c r="AD54" s="989"/>
      <c r="AE54" s="989"/>
      <c r="AF54" s="989"/>
      <c r="AG54" s="989"/>
      <c r="AH54" s="989"/>
      <c r="AI54" s="990"/>
    </row>
    <row r="55" spans="2:35" ht="23" customHeight="1" x14ac:dyDescent="0.15">
      <c r="B55" s="638"/>
      <c r="C55" s="520"/>
      <c r="D55" s="517"/>
      <c r="E55" s="578"/>
      <c r="F55" s="578"/>
      <c r="G55" s="520"/>
      <c r="H55" s="578"/>
      <c r="I55" s="578"/>
      <c r="J55" s="578"/>
      <c r="K55" s="586"/>
      <c r="L55" s="586"/>
      <c r="M55" s="586"/>
      <c r="N55" s="586"/>
      <c r="O55" s="586"/>
      <c r="P55" s="719"/>
      <c r="Q55" s="1001">
        <f t="shared" si="2"/>
        <v>0</v>
      </c>
      <c r="R55" s="851"/>
      <c r="S55" s="852"/>
      <c r="T55" s="626"/>
      <c r="V55" s="987"/>
      <c r="W55" s="989"/>
      <c r="X55" s="989"/>
      <c r="Y55" s="989"/>
      <c r="Z55" s="989"/>
      <c r="AA55" s="989"/>
      <c r="AB55" s="989"/>
      <c r="AC55" s="989"/>
      <c r="AD55" s="989"/>
      <c r="AE55" s="989"/>
      <c r="AF55" s="989"/>
      <c r="AG55" s="989"/>
      <c r="AH55" s="989"/>
      <c r="AI55" s="990"/>
    </row>
    <row r="56" spans="2:35" ht="23" customHeight="1" x14ac:dyDescent="0.15">
      <c r="B56" s="638"/>
      <c r="C56" s="520"/>
      <c r="D56" s="517"/>
      <c r="E56" s="578"/>
      <c r="F56" s="578"/>
      <c r="G56" s="520"/>
      <c r="H56" s="578"/>
      <c r="I56" s="578"/>
      <c r="J56" s="578"/>
      <c r="K56" s="586"/>
      <c r="L56" s="586"/>
      <c r="M56" s="586"/>
      <c r="N56" s="586"/>
      <c r="O56" s="586"/>
      <c r="P56" s="719"/>
      <c r="Q56" s="1001">
        <f t="shared" si="2"/>
        <v>0</v>
      </c>
      <c r="R56" s="851"/>
      <c r="S56" s="852"/>
      <c r="T56" s="626"/>
      <c r="V56" s="987"/>
      <c r="W56" s="989"/>
      <c r="X56" s="989"/>
      <c r="Y56" s="989"/>
      <c r="Z56" s="989"/>
      <c r="AA56" s="989"/>
      <c r="AB56" s="989"/>
      <c r="AC56" s="989"/>
      <c r="AD56" s="989"/>
      <c r="AE56" s="989"/>
      <c r="AF56" s="989"/>
      <c r="AG56" s="989"/>
      <c r="AH56" s="989"/>
      <c r="AI56" s="990"/>
    </row>
    <row r="57" spans="2:35" ht="23" customHeight="1" x14ac:dyDescent="0.15">
      <c r="B57" s="638"/>
      <c r="C57" s="520"/>
      <c r="D57" s="517"/>
      <c r="E57" s="578"/>
      <c r="F57" s="578"/>
      <c r="G57" s="520"/>
      <c r="H57" s="578"/>
      <c r="I57" s="578"/>
      <c r="J57" s="578"/>
      <c r="K57" s="586"/>
      <c r="L57" s="586"/>
      <c r="M57" s="586"/>
      <c r="N57" s="586"/>
      <c r="O57" s="586"/>
      <c r="P57" s="719"/>
      <c r="Q57" s="1001">
        <f t="shared" si="2"/>
        <v>0</v>
      </c>
      <c r="R57" s="851"/>
      <c r="S57" s="852"/>
      <c r="T57" s="626"/>
      <c r="V57" s="987"/>
      <c r="W57" s="989"/>
      <c r="X57" s="989"/>
      <c r="Y57" s="989"/>
      <c r="Z57" s="989"/>
      <c r="AA57" s="989"/>
      <c r="AB57" s="989"/>
      <c r="AC57" s="989"/>
      <c r="AD57" s="989"/>
      <c r="AE57" s="989"/>
      <c r="AF57" s="989"/>
      <c r="AG57" s="989"/>
      <c r="AH57" s="989"/>
      <c r="AI57" s="990"/>
    </row>
    <row r="58" spans="2:35" ht="23" customHeight="1" x14ac:dyDescent="0.15">
      <c r="B58" s="638"/>
      <c r="C58" s="520"/>
      <c r="D58" s="517"/>
      <c r="E58" s="578"/>
      <c r="F58" s="578"/>
      <c r="G58" s="520"/>
      <c r="H58" s="578"/>
      <c r="I58" s="578"/>
      <c r="J58" s="578"/>
      <c r="K58" s="586"/>
      <c r="L58" s="586"/>
      <c r="M58" s="586"/>
      <c r="N58" s="586"/>
      <c r="O58" s="586"/>
      <c r="P58" s="719"/>
      <c r="Q58" s="1001">
        <f t="shared" si="2"/>
        <v>0</v>
      </c>
      <c r="R58" s="851"/>
      <c r="S58" s="852"/>
      <c r="T58" s="626"/>
      <c r="V58" s="987"/>
      <c r="W58" s="989"/>
      <c r="X58" s="989"/>
      <c r="Y58" s="989"/>
      <c r="Z58" s="989"/>
      <c r="AA58" s="989"/>
      <c r="AB58" s="989"/>
      <c r="AC58" s="989"/>
      <c r="AD58" s="989"/>
      <c r="AE58" s="989"/>
      <c r="AF58" s="989"/>
      <c r="AG58" s="989"/>
      <c r="AH58" s="989"/>
      <c r="AI58" s="990"/>
    </row>
    <row r="59" spans="2:35" ht="23" customHeight="1" x14ac:dyDescent="0.15">
      <c r="B59" s="638"/>
      <c r="C59" s="520"/>
      <c r="D59" s="517"/>
      <c r="E59" s="578"/>
      <c r="F59" s="578"/>
      <c r="G59" s="520"/>
      <c r="H59" s="578"/>
      <c r="I59" s="578"/>
      <c r="J59" s="578"/>
      <c r="K59" s="586"/>
      <c r="L59" s="586"/>
      <c r="M59" s="586"/>
      <c r="N59" s="586"/>
      <c r="O59" s="586"/>
      <c r="P59" s="719"/>
      <c r="Q59" s="1001">
        <f t="shared" si="2"/>
        <v>0</v>
      </c>
      <c r="R59" s="851"/>
      <c r="S59" s="852"/>
      <c r="T59" s="626"/>
      <c r="V59" s="987"/>
      <c r="W59" s="989"/>
      <c r="X59" s="989"/>
      <c r="Y59" s="989"/>
      <c r="Z59" s="989"/>
      <c r="AA59" s="989"/>
      <c r="AB59" s="989"/>
      <c r="AC59" s="989"/>
      <c r="AD59" s="989"/>
      <c r="AE59" s="989"/>
      <c r="AF59" s="989"/>
      <c r="AG59" s="989"/>
      <c r="AH59" s="989"/>
      <c r="AI59" s="990"/>
    </row>
    <row r="60" spans="2:35" ht="23" customHeight="1" x14ac:dyDescent="0.15">
      <c r="B60" s="638"/>
      <c r="C60" s="520"/>
      <c r="D60" s="517"/>
      <c r="E60" s="578"/>
      <c r="F60" s="578"/>
      <c r="G60" s="520"/>
      <c r="H60" s="578"/>
      <c r="I60" s="578"/>
      <c r="J60" s="578"/>
      <c r="K60" s="586"/>
      <c r="L60" s="586"/>
      <c r="M60" s="586"/>
      <c r="N60" s="586"/>
      <c r="O60" s="586"/>
      <c r="P60" s="719"/>
      <c r="Q60" s="1001">
        <f t="shared" si="2"/>
        <v>0</v>
      </c>
      <c r="R60" s="851"/>
      <c r="S60" s="852"/>
      <c r="T60" s="626"/>
      <c r="V60" s="987"/>
      <c r="W60" s="989"/>
      <c r="X60" s="989"/>
      <c r="Y60" s="989"/>
      <c r="Z60" s="989"/>
      <c r="AA60" s="989"/>
      <c r="AB60" s="989"/>
      <c r="AC60" s="989"/>
      <c r="AD60" s="989"/>
      <c r="AE60" s="989"/>
      <c r="AF60" s="989"/>
      <c r="AG60" s="989"/>
      <c r="AH60" s="989"/>
      <c r="AI60" s="990"/>
    </row>
    <row r="61" spans="2:35" ht="23" customHeight="1" x14ac:dyDescent="0.15">
      <c r="B61" s="638"/>
      <c r="C61" s="520"/>
      <c r="D61" s="517"/>
      <c r="E61" s="578"/>
      <c r="F61" s="578"/>
      <c r="G61" s="520"/>
      <c r="H61" s="578"/>
      <c r="I61" s="578"/>
      <c r="J61" s="578"/>
      <c r="K61" s="586"/>
      <c r="L61" s="586"/>
      <c r="M61" s="586"/>
      <c r="N61" s="586"/>
      <c r="O61" s="586"/>
      <c r="P61" s="719"/>
      <c r="Q61" s="1001">
        <f t="shared" si="2"/>
        <v>0</v>
      </c>
      <c r="R61" s="851"/>
      <c r="S61" s="852"/>
      <c r="T61" s="626"/>
      <c r="V61" s="987"/>
      <c r="W61" s="989"/>
      <c r="X61" s="989"/>
      <c r="Y61" s="989"/>
      <c r="Z61" s="989"/>
      <c r="AA61" s="989"/>
      <c r="AB61" s="989"/>
      <c r="AC61" s="989"/>
      <c r="AD61" s="989"/>
      <c r="AE61" s="989"/>
      <c r="AF61" s="989"/>
      <c r="AG61" s="989"/>
      <c r="AH61" s="989"/>
      <c r="AI61" s="990"/>
    </row>
    <row r="62" spans="2:35" ht="23" customHeight="1" x14ac:dyDescent="0.15">
      <c r="B62" s="638"/>
      <c r="C62" s="520"/>
      <c r="D62" s="517"/>
      <c r="E62" s="578"/>
      <c r="F62" s="578"/>
      <c r="G62" s="520"/>
      <c r="H62" s="578"/>
      <c r="I62" s="578"/>
      <c r="J62" s="578"/>
      <c r="K62" s="586"/>
      <c r="L62" s="586"/>
      <c r="M62" s="586"/>
      <c r="N62" s="586"/>
      <c r="O62" s="586"/>
      <c r="P62" s="719"/>
      <c r="Q62" s="1001">
        <f t="shared" si="2"/>
        <v>0</v>
      </c>
      <c r="R62" s="851"/>
      <c r="S62" s="852"/>
      <c r="T62" s="626"/>
      <c r="V62" s="987"/>
      <c r="W62" s="989"/>
      <c r="X62" s="989"/>
      <c r="Y62" s="989"/>
      <c r="Z62" s="989"/>
      <c r="AA62" s="989"/>
      <c r="AB62" s="989"/>
      <c r="AC62" s="989"/>
      <c r="AD62" s="989"/>
      <c r="AE62" s="989"/>
      <c r="AF62" s="989"/>
      <c r="AG62" s="989"/>
      <c r="AH62" s="989"/>
      <c r="AI62" s="990"/>
    </row>
    <row r="63" spans="2:35" ht="23" customHeight="1" x14ac:dyDescent="0.15">
      <c r="B63" s="638"/>
      <c r="C63" s="520"/>
      <c r="D63" s="517"/>
      <c r="E63" s="578"/>
      <c r="F63" s="578"/>
      <c r="G63" s="520"/>
      <c r="H63" s="578"/>
      <c r="I63" s="578"/>
      <c r="J63" s="578"/>
      <c r="K63" s="586"/>
      <c r="L63" s="586"/>
      <c r="M63" s="586"/>
      <c r="N63" s="586"/>
      <c r="O63" s="586"/>
      <c r="P63" s="719"/>
      <c r="Q63" s="1001">
        <f t="shared" si="2"/>
        <v>0</v>
      </c>
      <c r="R63" s="851"/>
      <c r="S63" s="852"/>
      <c r="T63" s="626"/>
      <c r="V63" s="987"/>
      <c r="W63" s="989"/>
      <c r="X63" s="989"/>
      <c r="Y63" s="989"/>
      <c r="Z63" s="989"/>
      <c r="AA63" s="989"/>
      <c r="AB63" s="989"/>
      <c r="AC63" s="989"/>
      <c r="AD63" s="989"/>
      <c r="AE63" s="989"/>
      <c r="AF63" s="989"/>
      <c r="AG63" s="989"/>
      <c r="AH63" s="989"/>
      <c r="AI63" s="990"/>
    </row>
    <row r="64" spans="2:35" ht="23" customHeight="1" x14ac:dyDescent="0.15">
      <c r="B64" s="638"/>
      <c r="C64" s="520"/>
      <c r="D64" s="517"/>
      <c r="E64" s="578"/>
      <c r="F64" s="578"/>
      <c r="G64" s="520"/>
      <c r="H64" s="578"/>
      <c r="I64" s="578"/>
      <c r="J64" s="578"/>
      <c r="K64" s="586"/>
      <c r="L64" s="586"/>
      <c r="M64" s="586"/>
      <c r="N64" s="586"/>
      <c r="O64" s="586"/>
      <c r="P64" s="719"/>
      <c r="Q64" s="1001">
        <f t="shared" si="2"/>
        <v>0</v>
      </c>
      <c r="R64" s="851"/>
      <c r="S64" s="852"/>
      <c r="T64" s="626"/>
      <c r="V64" s="987"/>
      <c r="W64" s="989"/>
      <c r="X64" s="989"/>
      <c r="Y64" s="989"/>
      <c r="Z64" s="989"/>
      <c r="AA64" s="989"/>
      <c r="AB64" s="989"/>
      <c r="AC64" s="989"/>
      <c r="AD64" s="989"/>
      <c r="AE64" s="989"/>
      <c r="AF64" s="989"/>
      <c r="AG64" s="989"/>
      <c r="AH64" s="989"/>
      <c r="AI64" s="990"/>
    </row>
    <row r="65" spans="2:35" ht="23" customHeight="1" x14ac:dyDescent="0.15">
      <c r="B65" s="638"/>
      <c r="C65" s="520"/>
      <c r="D65" s="517"/>
      <c r="E65" s="578"/>
      <c r="F65" s="578"/>
      <c r="G65" s="520"/>
      <c r="H65" s="578"/>
      <c r="I65" s="578"/>
      <c r="J65" s="578"/>
      <c r="K65" s="586"/>
      <c r="L65" s="586"/>
      <c r="M65" s="586"/>
      <c r="N65" s="586"/>
      <c r="O65" s="586"/>
      <c r="P65" s="719"/>
      <c r="Q65" s="1001">
        <f t="shared" si="2"/>
        <v>0</v>
      </c>
      <c r="R65" s="851"/>
      <c r="S65" s="852"/>
      <c r="T65" s="626"/>
      <c r="V65" s="987"/>
      <c r="W65" s="989"/>
      <c r="X65" s="989"/>
      <c r="Y65" s="989"/>
      <c r="Z65" s="989"/>
      <c r="AA65" s="989"/>
      <c r="AB65" s="989"/>
      <c r="AC65" s="989"/>
      <c r="AD65" s="989"/>
      <c r="AE65" s="989"/>
      <c r="AF65" s="989"/>
      <c r="AG65" s="989"/>
      <c r="AH65" s="989"/>
      <c r="AI65" s="990"/>
    </row>
    <row r="66" spans="2:35" ht="23" customHeight="1" x14ac:dyDescent="0.15">
      <c r="B66" s="638"/>
      <c r="C66" s="520"/>
      <c r="D66" s="517"/>
      <c r="E66" s="578"/>
      <c r="F66" s="578"/>
      <c r="G66" s="520"/>
      <c r="H66" s="578"/>
      <c r="I66" s="578"/>
      <c r="J66" s="578"/>
      <c r="K66" s="586"/>
      <c r="L66" s="586"/>
      <c r="M66" s="586"/>
      <c r="N66" s="586"/>
      <c r="O66" s="586"/>
      <c r="P66" s="719"/>
      <c r="Q66" s="1001">
        <f t="shared" si="2"/>
        <v>0</v>
      </c>
      <c r="R66" s="851"/>
      <c r="S66" s="852"/>
      <c r="T66" s="626"/>
      <c r="V66" s="987"/>
      <c r="W66" s="989"/>
      <c r="X66" s="989"/>
      <c r="Y66" s="989"/>
      <c r="Z66" s="989"/>
      <c r="AA66" s="989"/>
      <c r="AB66" s="989"/>
      <c r="AC66" s="989"/>
      <c r="AD66" s="989"/>
      <c r="AE66" s="989"/>
      <c r="AF66" s="989"/>
      <c r="AG66" s="989"/>
      <c r="AH66" s="989"/>
      <c r="AI66" s="990"/>
    </row>
    <row r="67" spans="2:35" ht="23" customHeight="1" x14ac:dyDescent="0.15">
      <c r="B67" s="638"/>
      <c r="C67" s="520"/>
      <c r="D67" s="517"/>
      <c r="E67" s="578"/>
      <c r="F67" s="578"/>
      <c r="G67" s="520"/>
      <c r="H67" s="578"/>
      <c r="I67" s="578"/>
      <c r="J67" s="578"/>
      <c r="K67" s="586"/>
      <c r="L67" s="586"/>
      <c r="M67" s="586"/>
      <c r="N67" s="586"/>
      <c r="O67" s="586"/>
      <c r="P67" s="719"/>
      <c r="Q67" s="1001">
        <f t="shared" si="2"/>
        <v>0</v>
      </c>
      <c r="R67" s="851"/>
      <c r="S67" s="852"/>
      <c r="T67" s="626"/>
      <c r="V67" s="987"/>
      <c r="W67" s="989"/>
      <c r="X67" s="989"/>
      <c r="Y67" s="989"/>
      <c r="Z67" s="989"/>
      <c r="AA67" s="989"/>
      <c r="AB67" s="989"/>
      <c r="AC67" s="989"/>
      <c r="AD67" s="989"/>
      <c r="AE67" s="989"/>
      <c r="AF67" s="989"/>
      <c r="AG67" s="989"/>
      <c r="AH67" s="989"/>
      <c r="AI67" s="990"/>
    </row>
    <row r="68" spans="2:35" ht="23" customHeight="1" x14ac:dyDescent="0.15">
      <c r="B68" s="638"/>
      <c r="C68" s="520"/>
      <c r="D68" s="517"/>
      <c r="E68" s="578"/>
      <c r="F68" s="578"/>
      <c r="G68" s="520"/>
      <c r="H68" s="578"/>
      <c r="I68" s="578"/>
      <c r="J68" s="578"/>
      <c r="K68" s="586"/>
      <c r="L68" s="586"/>
      <c r="M68" s="586"/>
      <c r="N68" s="586"/>
      <c r="O68" s="586"/>
      <c r="P68" s="719"/>
      <c r="Q68" s="1001">
        <f t="shared" si="2"/>
        <v>0</v>
      </c>
      <c r="R68" s="851"/>
      <c r="S68" s="852"/>
      <c r="T68" s="626"/>
      <c r="V68" s="987"/>
      <c r="W68" s="989"/>
      <c r="X68" s="989"/>
      <c r="Y68" s="989"/>
      <c r="Z68" s="989"/>
      <c r="AA68" s="989"/>
      <c r="AB68" s="989"/>
      <c r="AC68" s="989"/>
      <c r="AD68" s="989"/>
      <c r="AE68" s="989"/>
      <c r="AF68" s="989"/>
      <c r="AG68" s="989"/>
      <c r="AH68" s="989"/>
      <c r="AI68" s="990"/>
    </row>
    <row r="69" spans="2:35" ht="23" customHeight="1" x14ac:dyDescent="0.15">
      <c r="B69" s="638"/>
      <c r="C69" s="520"/>
      <c r="D69" s="517"/>
      <c r="E69" s="578"/>
      <c r="F69" s="578"/>
      <c r="G69" s="520"/>
      <c r="H69" s="578"/>
      <c r="I69" s="578"/>
      <c r="J69" s="578"/>
      <c r="K69" s="586"/>
      <c r="L69" s="586"/>
      <c r="M69" s="586"/>
      <c r="N69" s="586"/>
      <c r="O69" s="586"/>
      <c r="P69" s="719"/>
      <c r="Q69" s="1001">
        <f t="shared" si="2"/>
        <v>0</v>
      </c>
      <c r="R69" s="851"/>
      <c r="S69" s="852"/>
      <c r="T69" s="626"/>
      <c r="V69" s="987"/>
      <c r="W69" s="989"/>
      <c r="X69" s="989"/>
      <c r="Y69" s="989"/>
      <c r="Z69" s="989"/>
      <c r="AA69" s="989"/>
      <c r="AB69" s="989"/>
      <c r="AC69" s="989"/>
      <c r="AD69" s="989"/>
      <c r="AE69" s="989"/>
      <c r="AF69" s="989"/>
      <c r="AG69" s="989"/>
      <c r="AH69" s="989"/>
      <c r="AI69" s="990"/>
    </row>
    <row r="70" spans="2:35" ht="23" customHeight="1" x14ac:dyDescent="0.15">
      <c r="B70" s="638"/>
      <c r="C70" s="520"/>
      <c r="D70" s="517"/>
      <c r="E70" s="578"/>
      <c r="F70" s="578"/>
      <c r="G70" s="520"/>
      <c r="H70" s="578"/>
      <c r="I70" s="578"/>
      <c r="J70" s="578"/>
      <c r="K70" s="586"/>
      <c r="L70" s="586"/>
      <c r="M70" s="586"/>
      <c r="N70" s="586"/>
      <c r="O70" s="586"/>
      <c r="P70" s="719"/>
      <c r="Q70" s="1001">
        <f t="shared" si="2"/>
        <v>0</v>
      </c>
      <c r="R70" s="851"/>
      <c r="S70" s="852"/>
      <c r="T70" s="626"/>
      <c r="V70" s="987"/>
      <c r="W70" s="989"/>
      <c r="X70" s="989"/>
      <c r="Y70" s="989"/>
      <c r="Z70" s="989"/>
      <c r="AA70" s="989"/>
      <c r="AB70" s="989"/>
      <c r="AC70" s="989"/>
      <c r="AD70" s="989"/>
      <c r="AE70" s="989"/>
      <c r="AF70" s="989"/>
      <c r="AG70" s="989"/>
      <c r="AH70" s="989"/>
      <c r="AI70" s="990"/>
    </row>
    <row r="71" spans="2:35" ht="23" customHeight="1" x14ac:dyDescent="0.15">
      <c r="B71" s="638"/>
      <c r="C71" s="520"/>
      <c r="D71" s="517"/>
      <c r="E71" s="578"/>
      <c r="F71" s="578"/>
      <c r="G71" s="520"/>
      <c r="H71" s="578"/>
      <c r="I71" s="578"/>
      <c r="J71" s="578"/>
      <c r="K71" s="586"/>
      <c r="L71" s="586"/>
      <c r="M71" s="586"/>
      <c r="N71" s="586"/>
      <c r="O71" s="586"/>
      <c r="P71" s="719"/>
      <c r="Q71" s="1001">
        <f t="shared" si="2"/>
        <v>0</v>
      </c>
      <c r="R71" s="851"/>
      <c r="S71" s="852"/>
      <c r="T71" s="626"/>
      <c r="V71" s="987"/>
      <c r="W71" s="989"/>
      <c r="X71" s="989"/>
      <c r="Y71" s="989"/>
      <c r="Z71" s="989"/>
      <c r="AA71" s="989"/>
      <c r="AB71" s="989"/>
      <c r="AC71" s="989"/>
      <c r="AD71" s="989"/>
      <c r="AE71" s="989"/>
      <c r="AF71" s="989"/>
      <c r="AG71" s="989"/>
      <c r="AH71" s="989"/>
      <c r="AI71" s="990"/>
    </row>
    <row r="72" spans="2:35" ht="23" customHeight="1" x14ac:dyDescent="0.15">
      <c r="B72" s="638"/>
      <c r="C72" s="520"/>
      <c r="D72" s="517"/>
      <c r="E72" s="578"/>
      <c r="F72" s="578"/>
      <c r="G72" s="520"/>
      <c r="H72" s="578"/>
      <c r="I72" s="578"/>
      <c r="J72" s="578"/>
      <c r="K72" s="586"/>
      <c r="L72" s="586"/>
      <c r="M72" s="586"/>
      <c r="N72" s="586"/>
      <c r="O72" s="586"/>
      <c r="P72" s="719"/>
      <c r="Q72" s="1001">
        <f t="shared" si="2"/>
        <v>0</v>
      </c>
      <c r="R72" s="851"/>
      <c r="S72" s="852"/>
      <c r="T72" s="626"/>
      <c r="V72" s="987"/>
      <c r="W72" s="989"/>
      <c r="X72" s="989"/>
      <c r="Y72" s="989"/>
      <c r="Z72" s="989"/>
      <c r="AA72" s="989"/>
      <c r="AB72" s="989"/>
      <c r="AC72" s="989"/>
      <c r="AD72" s="989"/>
      <c r="AE72" s="989"/>
      <c r="AF72" s="989"/>
      <c r="AG72" s="989"/>
      <c r="AH72" s="989"/>
      <c r="AI72" s="990"/>
    </row>
    <row r="73" spans="2:35" ht="23" customHeight="1" x14ac:dyDescent="0.15">
      <c r="B73" s="638"/>
      <c r="C73" s="520"/>
      <c r="D73" s="518"/>
      <c r="E73" s="579"/>
      <c r="F73" s="579"/>
      <c r="G73" s="521"/>
      <c r="H73" s="579"/>
      <c r="I73" s="579"/>
      <c r="J73" s="579"/>
      <c r="K73" s="587"/>
      <c r="L73" s="587"/>
      <c r="M73" s="587"/>
      <c r="N73" s="587"/>
      <c r="O73" s="587"/>
      <c r="P73" s="720"/>
      <c r="Q73" s="1002">
        <f t="shared" si="2"/>
        <v>0</v>
      </c>
      <c r="R73" s="851"/>
      <c r="S73" s="852"/>
      <c r="T73" s="626"/>
      <c r="V73" s="987"/>
      <c r="W73" s="989"/>
      <c r="X73" s="989"/>
      <c r="Y73" s="989"/>
      <c r="Z73" s="989"/>
      <c r="AA73" s="989"/>
      <c r="AB73" s="989"/>
      <c r="AC73" s="989"/>
      <c r="AD73" s="989"/>
      <c r="AE73" s="989"/>
      <c r="AF73" s="989"/>
      <c r="AG73" s="989"/>
      <c r="AH73" s="989"/>
      <c r="AI73" s="990"/>
    </row>
    <row r="74" spans="2:35" ht="23" customHeight="1" x14ac:dyDescent="0.15">
      <c r="B74" s="638"/>
      <c r="C74" s="522"/>
      <c r="D74" s="519"/>
      <c r="E74" s="580"/>
      <c r="F74" s="580"/>
      <c r="G74" s="522"/>
      <c r="H74" s="580"/>
      <c r="I74" s="580"/>
      <c r="J74" s="580"/>
      <c r="K74" s="588"/>
      <c r="L74" s="588"/>
      <c r="M74" s="588"/>
      <c r="N74" s="588"/>
      <c r="O74" s="588"/>
      <c r="P74" s="721"/>
      <c r="Q74" s="1003">
        <f t="shared" si="2"/>
        <v>0</v>
      </c>
      <c r="R74" s="853"/>
      <c r="S74" s="854"/>
      <c r="T74" s="626"/>
      <c r="V74" s="987"/>
      <c r="W74" s="989"/>
      <c r="X74" s="989"/>
      <c r="Y74" s="989"/>
      <c r="Z74" s="989"/>
      <c r="AA74" s="989"/>
      <c r="AB74" s="989"/>
      <c r="AC74" s="989"/>
      <c r="AD74" s="989"/>
      <c r="AE74" s="989"/>
      <c r="AF74" s="989"/>
      <c r="AG74" s="989"/>
      <c r="AH74" s="989"/>
      <c r="AI74" s="990"/>
    </row>
    <row r="75" spans="2:35" ht="23" customHeight="1" thickBot="1" x14ac:dyDescent="0.2">
      <c r="B75" s="638"/>
      <c r="C75" s="616"/>
      <c r="D75" s="616"/>
      <c r="E75" s="981"/>
      <c r="F75" s="981"/>
      <c r="G75" s="981"/>
      <c r="H75" s="1487" t="s">
        <v>471</v>
      </c>
      <c r="I75" s="1488"/>
      <c r="J75" s="1489"/>
      <c r="K75" s="1004">
        <f t="shared" ref="K75:L75" si="3">SUM(K50:K74)</f>
        <v>0</v>
      </c>
      <c r="L75" s="1005">
        <f t="shared" si="3"/>
        <v>1848963.27</v>
      </c>
      <c r="M75" s="1006">
        <f>SUM(M50:M74)</f>
        <v>0</v>
      </c>
      <c r="N75" s="1006">
        <f t="shared" ref="N75" si="4">SUM(N50:N74)</f>
        <v>228500</v>
      </c>
      <c r="O75" s="1004">
        <f>SUM(O50:O74)</f>
        <v>0</v>
      </c>
      <c r="P75" s="1004">
        <f>SUM(P50:P74)</f>
        <v>0</v>
      </c>
      <c r="Q75" s="1007">
        <f>SUM(Q50:Q74)</f>
        <v>1620463.27</v>
      </c>
      <c r="R75" s="1006">
        <f>SUM(R50:R74)</f>
        <v>229550</v>
      </c>
      <c r="S75" s="674">
        <f>SUM(S50:S74)</f>
        <v>1390913.27</v>
      </c>
      <c r="T75" s="626"/>
      <c r="V75" s="987"/>
      <c r="W75" s="989"/>
      <c r="X75" s="989"/>
      <c r="Y75" s="989"/>
      <c r="Z75" s="989"/>
      <c r="AA75" s="989"/>
      <c r="AB75" s="989"/>
      <c r="AC75" s="989"/>
      <c r="AD75" s="989"/>
      <c r="AE75" s="989"/>
      <c r="AF75" s="989"/>
      <c r="AG75" s="989"/>
      <c r="AH75" s="989"/>
      <c r="AI75" s="990"/>
    </row>
    <row r="76" spans="2:35" ht="23" customHeight="1" x14ac:dyDescent="0.15">
      <c r="B76" s="638"/>
      <c r="C76" s="616"/>
      <c r="D76" s="616"/>
      <c r="E76" s="981"/>
      <c r="F76" s="981"/>
      <c r="G76" s="981"/>
      <c r="H76" s="1009"/>
      <c r="I76" s="1009"/>
      <c r="J76" s="1009"/>
      <c r="K76" s="981"/>
      <c r="L76" s="981"/>
      <c r="M76" s="981"/>
      <c r="N76" s="981"/>
      <c r="O76" s="981"/>
      <c r="P76" s="981"/>
      <c r="Q76" s="981"/>
      <c r="R76" s="981"/>
      <c r="S76" s="981"/>
      <c r="T76" s="626"/>
      <c r="V76" s="987"/>
      <c r="W76" s="989"/>
      <c r="X76" s="989"/>
      <c r="Y76" s="989"/>
      <c r="Z76" s="989"/>
      <c r="AA76" s="989"/>
      <c r="AB76" s="989"/>
      <c r="AC76" s="989"/>
      <c r="AD76" s="989"/>
      <c r="AE76" s="989"/>
      <c r="AF76" s="989"/>
      <c r="AG76" s="989"/>
      <c r="AH76" s="989"/>
      <c r="AI76" s="990"/>
    </row>
    <row r="77" spans="2:35" ht="23" customHeight="1" x14ac:dyDescent="0.15">
      <c r="B77" s="638"/>
      <c r="C77" s="992" t="s">
        <v>821</v>
      </c>
      <c r="D77" s="958"/>
      <c r="E77" s="636"/>
      <c r="F77" s="636"/>
      <c r="G77" s="636"/>
      <c r="H77" s="636"/>
      <c r="I77" s="636"/>
      <c r="J77" s="636"/>
      <c r="K77" s="636"/>
      <c r="L77" s="636"/>
      <c r="M77" s="636"/>
      <c r="N77" s="636"/>
      <c r="O77" s="636"/>
      <c r="P77" s="636"/>
      <c r="Q77" s="636"/>
      <c r="R77" s="636"/>
      <c r="S77" s="636"/>
      <c r="T77" s="626"/>
      <c r="V77" s="987"/>
      <c r="W77" s="989"/>
      <c r="X77" s="989"/>
      <c r="Y77" s="989"/>
      <c r="Z77" s="989"/>
      <c r="AA77" s="989"/>
      <c r="AB77" s="989"/>
      <c r="AC77" s="989"/>
      <c r="AD77" s="989"/>
      <c r="AE77" s="989"/>
      <c r="AF77" s="989"/>
      <c r="AG77" s="989"/>
      <c r="AH77" s="989"/>
      <c r="AI77" s="990"/>
    </row>
    <row r="78" spans="2:35" ht="23" customHeight="1" x14ac:dyDescent="0.15">
      <c r="B78" s="638"/>
      <c r="C78" s="958"/>
      <c r="D78" s="958"/>
      <c r="E78" s="636"/>
      <c r="F78" s="636"/>
      <c r="G78" s="636"/>
      <c r="H78" s="636"/>
      <c r="I78" s="636"/>
      <c r="J78" s="636"/>
      <c r="K78" s="636"/>
      <c r="L78" s="636"/>
      <c r="M78" s="636"/>
      <c r="N78" s="636"/>
      <c r="O78" s="636"/>
      <c r="P78" s="636"/>
      <c r="Q78" s="636"/>
      <c r="R78" s="636"/>
      <c r="S78" s="636"/>
      <c r="T78" s="626"/>
      <c r="V78" s="987"/>
      <c r="W78" s="989"/>
      <c r="X78" s="989"/>
      <c r="Y78" s="989"/>
      <c r="Z78" s="989"/>
      <c r="AA78" s="989"/>
      <c r="AB78" s="989"/>
      <c r="AC78" s="989"/>
      <c r="AD78" s="989"/>
      <c r="AE78" s="989"/>
      <c r="AF78" s="989"/>
      <c r="AG78" s="989"/>
      <c r="AH78" s="989"/>
      <c r="AI78" s="990"/>
    </row>
    <row r="79" spans="2:35" ht="23" customHeight="1" x14ac:dyDescent="0.15">
      <c r="B79" s="638"/>
      <c r="C79" s="958"/>
      <c r="D79" s="958"/>
      <c r="E79" s="636"/>
      <c r="F79" s="636"/>
      <c r="G79" s="636"/>
      <c r="H79" s="636"/>
      <c r="I79" s="636"/>
      <c r="J79" s="636"/>
      <c r="K79" s="636"/>
      <c r="L79" s="636"/>
      <c r="M79" s="636"/>
      <c r="N79" s="636"/>
      <c r="O79" s="636"/>
      <c r="P79" s="636"/>
      <c r="Q79" s="636"/>
      <c r="R79" s="636"/>
      <c r="S79" s="636"/>
      <c r="T79" s="626"/>
      <c r="V79" s="987"/>
      <c r="W79" s="989"/>
      <c r="X79" s="989"/>
      <c r="Y79" s="989"/>
      <c r="Z79" s="989"/>
      <c r="AA79" s="989"/>
      <c r="AB79" s="989"/>
      <c r="AC79" s="989"/>
      <c r="AD79" s="989"/>
      <c r="AE79" s="989"/>
      <c r="AF79" s="989"/>
      <c r="AG79" s="989"/>
      <c r="AH79" s="989"/>
      <c r="AI79" s="990"/>
    </row>
    <row r="80" spans="2:35" ht="38" customHeight="1" x14ac:dyDescent="0.15">
      <c r="B80" s="638"/>
      <c r="C80" s="993" t="s">
        <v>464</v>
      </c>
      <c r="D80" s="994" t="s">
        <v>466</v>
      </c>
      <c r="E80" s="993" t="s">
        <v>665</v>
      </c>
      <c r="F80" s="993" t="s">
        <v>665</v>
      </c>
      <c r="G80" s="993" t="s">
        <v>468</v>
      </c>
      <c r="H80" s="993" t="s">
        <v>472</v>
      </c>
      <c r="I80" s="993" t="s">
        <v>474</v>
      </c>
      <c r="J80" s="993" t="s">
        <v>718</v>
      </c>
      <c r="K80" s="993" t="s">
        <v>470</v>
      </c>
      <c r="L80" s="993" t="s">
        <v>667</v>
      </c>
      <c r="M80" s="995" t="s">
        <v>678</v>
      </c>
      <c r="N80" s="993" t="s">
        <v>989</v>
      </c>
      <c r="O80" s="993" t="s">
        <v>990</v>
      </c>
      <c r="P80" s="996" t="s">
        <v>991</v>
      </c>
      <c r="Q80" s="993" t="s">
        <v>667</v>
      </c>
      <c r="R80" s="1485" t="s">
        <v>992</v>
      </c>
      <c r="S80" s="1486"/>
      <c r="T80" s="626"/>
      <c r="V80" s="987"/>
      <c r="W80" s="989"/>
      <c r="X80" s="989"/>
      <c r="Y80" s="989"/>
      <c r="Z80" s="989"/>
      <c r="AA80" s="989"/>
      <c r="AB80" s="989"/>
      <c r="AC80" s="989"/>
      <c r="AD80" s="989"/>
      <c r="AE80" s="989"/>
      <c r="AF80" s="989"/>
      <c r="AG80" s="989"/>
      <c r="AH80" s="989"/>
      <c r="AI80" s="990"/>
    </row>
    <row r="81" spans="2:35" ht="23" customHeight="1" x14ac:dyDescent="0.15">
      <c r="B81" s="638"/>
      <c r="C81" s="997" t="s">
        <v>465</v>
      </c>
      <c r="D81" s="998" t="s">
        <v>465</v>
      </c>
      <c r="E81" s="997" t="s">
        <v>467</v>
      </c>
      <c r="F81" s="997" t="s">
        <v>666</v>
      </c>
      <c r="G81" s="997" t="s">
        <v>820</v>
      </c>
      <c r="H81" s="997" t="s">
        <v>473</v>
      </c>
      <c r="I81" s="997" t="s">
        <v>703</v>
      </c>
      <c r="J81" s="997" t="s">
        <v>746</v>
      </c>
      <c r="K81" s="997" t="s">
        <v>988</v>
      </c>
      <c r="L81" s="997">
        <f>ejercicio-1</f>
        <v>2019</v>
      </c>
      <c r="M81" s="997">
        <f>ejercicio</f>
        <v>2020</v>
      </c>
      <c r="N81" s="997">
        <f>ejercicio</f>
        <v>2020</v>
      </c>
      <c r="O81" s="997">
        <f>ejercicio</f>
        <v>2020</v>
      </c>
      <c r="P81" s="997">
        <f>ejercicio</f>
        <v>2020</v>
      </c>
      <c r="Q81" s="997">
        <f>ejercicio</f>
        <v>2020</v>
      </c>
      <c r="R81" s="999" t="s">
        <v>668</v>
      </c>
      <c r="S81" s="1000" t="s">
        <v>669</v>
      </c>
      <c r="T81" s="626"/>
      <c r="V81" s="987"/>
      <c r="W81" s="989"/>
      <c r="X81" s="989"/>
      <c r="Y81" s="989"/>
      <c r="Z81" s="989"/>
      <c r="AA81" s="989"/>
      <c r="AB81" s="989"/>
      <c r="AC81" s="989"/>
      <c r="AD81" s="989"/>
      <c r="AE81" s="989"/>
      <c r="AF81" s="989"/>
      <c r="AG81" s="989"/>
      <c r="AH81" s="989"/>
      <c r="AI81" s="990"/>
    </row>
    <row r="82" spans="2:35" ht="23" customHeight="1" x14ac:dyDescent="0.15">
      <c r="B82" s="638"/>
      <c r="C82" s="520"/>
      <c r="D82" s="517"/>
      <c r="E82" s="578"/>
      <c r="F82" s="578"/>
      <c r="G82" s="520"/>
      <c r="H82" s="578"/>
      <c r="I82" s="578"/>
      <c r="J82" s="789"/>
      <c r="K82" s="586"/>
      <c r="L82" s="586"/>
      <c r="M82" s="790"/>
      <c r="N82" s="790"/>
      <c r="O82" s="790"/>
      <c r="P82" s="719"/>
      <c r="Q82" s="1010">
        <f>L82+M82-N82</f>
        <v>0</v>
      </c>
      <c r="R82" s="849"/>
      <c r="S82" s="850"/>
      <c r="T82" s="626"/>
      <c r="V82" s="987"/>
      <c r="W82" s="989"/>
      <c r="X82" s="989"/>
      <c r="Y82" s="989"/>
      <c r="Z82" s="989"/>
      <c r="AA82" s="989"/>
      <c r="AB82" s="989"/>
      <c r="AC82" s="989"/>
      <c r="AD82" s="989"/>
      <c r="AE82" s="989"/>
      <c r="AF82" s="989"/>
      <c r="AG82" s="989"/>
      <c r="AH82" s="989"/>
      <c r="AI82" s="990"/>
    </row>
    <row r="83" spans="2:35" ht="23" customHeight="1" x14ac:dyDescent="0.15">
      <c r="B83" s="638"/>
      <c r="C83" s="520"/>
      <c r="D83" s="517"/>
      <c r="E83" s="578"/>
      <c r="F83" s="578"/>
      <c r="G83" s="520"/>
      <c r="H83" s="578"/>
      <c r="I83" s="578"/>
      <c r="J83" s="578"/>
      <c r="K83" s="586"/>
      <c r="L83" s="586"/>
      <c r="M83" s="586"/>
      <c r="N83" s="586"/>
      <c r="O83" s="586"/>
      <c r="P83" s="719"/>
      <c r="Q83" s="1001">
        <f t="shared" ref="Q83:Q106" si="5">L83+M83-N83</f>
        <v>0</v>
      </c>
      <c r="R83" s="851"/>
      <c r="S83" s="852"/>
      <c r="T83" s="626"/>
      <c r="V83" s="987"/>
      <c r="W83" s="989"/>
      <c r="X83" s="989"/>
      <c r="Y83" s="989"/>
      <c r="Z83" s="989"/>
      <c r="AA83" s="989"/>
      <c r="AB83" s="989"/>
      <c r="AC83" s="989"/>
      <c r="AD83" s="989"/>
      <c r="AE83" s="989"/>
      <c r="AF83" s="989"/>
      <c r="AG83" s="989"/>
      <c r="AH83" s="989"/>
      <c r="AI83" s="990"/>
    </row>
    <row r="84" spans="2:35" ht="23" customHeight="1" x14ac:dyDescent="0.15">
      <c r="B84" s="638"/>
      <c r="C84" s="520"/>
      <c r="D84" s="517"/>
      <c r="E84" s="578" t="s">
        <v>654</v>
      </c>
      <c r="F84" s="578"/>
      <c r="G84" s="520"/>
      <c r="H84" s="578"/>
      <c r="I84" s="578"/>
      <c r="J84" s="578"/>
      <c r="K84" s="586"/>
      <c r="L84" s="586"/>
      <c r="M84" s="586"/>
      <c r="N84" s="586"/>
      <c r="O84" s="586"/>
      <c r="P84" s="719"/>
      <c r="Q84" s="1001">
        <f t="shared" si="5"/>
        <v>0</v>
      </c>
      <c r="R84" s="851"/>
      <c r="S84" s="852"/>
      <c r="T84" s="626"/>
      <c r="V84" s="987"/>
      <c r="W84" s="989"/>
      <c r="X84" s="989"/>
      <c r="Y84" s="989"/>
      <c r="Z84" s="989"/>
      <c r="AA84" s="989"/>
      <c r="AB84" s="989"/>
      <c r="AC84" s="989"/>
      <c r="AD84" s="989"/>
      <c r="AE84" s="989"/>
      <c r="AF84" s="989"/>
      <c r="AG84" s="989"/>
      <c r="AH84" s="989"/>
      <c r="AI84" s="990"/>
    </row>
    <row r="85" spans="2:35" ht="23" customHeight="1" x14ac:dyDescent="0.15">
      <c r="B85" s="638"/>
      <c r="C85" s="520"/>
      <c r="D85" s="517"/>
      <c r="E85" s="578"/>
      <c r="F85" s="578"/>
      <c r="G85" s="520"/>
      <c r="H85" s="578"/>
      <c r="I85" s="578"/>
      <c r="J85" s="578"/>
      <c r="K85" s="586"/>
      <c r="L85" s="586"/>
      <c r="M85" s="586"/>
      <c r="N85" s="586"/>
      <c r="O85" s="586"/>
      <c r="P85" s="719"/>
      <c r="Q85" s="1001">
        <f t="shared" si="5"/>
        <v>0</v>
      </c>
      <c r="R85" s="851"/>
      <c r="S85" s="852"/>
      <c r="T85" s="626"/>
      <c r="V85" s="987"/>
      <c r="W85" s="989"/>
      <c r="X85" s="989"/>
      <c r="Y85" s="989"/>
      <c r="Z85" s="989"/>
      <c r="AA85" s="989"/>
      <c r="AB85" s="989"/>
      <c r="AC85" s="989"/>
      <c r="AD85" s="989"/>
      <c r="AE85" s="989"/>
      <c r="AF85" s="989"/>
      <c r="AG85" s="989"/>
      <c r="AH85" s="989"/>
      <c r="AI85" s="990"/>
    </row>
    <row r="86" spans="2:35" ht="23" customHeight="1" x14ac:dyDescent="0.15">
      <c r="B86" s="638"/>
      <c r="C86" s="520"/>
      <c r="D86" s="517"/>
      <c r="E86" s="578"/>
      <c r="F86" s="578"/>
      <c r="G86" s="520"/>
      <c r="H86" s="578"/>
      <c r="I86" s="578"/>
      <c r="J86" s="578"/>
      <c r="K86" s="586"/>
      <c r="L86" s="586"/>
      <c r="M86" s="586"/>
      <c r="N86" s="586"/>
      <c r="O86" s="586"/>
      <c r="P86" s="719"/>
      <c r="Q86" s="1001">
        <f t="shared" si="5"/>
        <v>0</v>
      </c>
      <c r="R86" s="851"/>
      <c r="S86" s="852"/>
      <c r="T86" s="626"/>
      <c r="V86" s="987"/>
      <c r="W86" s="989"/>
      <c r="X86" s="989"/>
      <c r="Y86" s="989"/>
      <c r="Z86" s="989"/>
      <c r="AA86" s="989"/>
      <c r="AB86" s="989"/>
      <c r="AC86" s="989"/>
      <c r="AD86" s="989"/>
      <c r="AE86" s="989"/>
      <c r="AF86" s="989"/>
      <c r="AG86" s="989"/>
      <c r="AH86" s="989"/>
      <c r="AI86" s="990"/>
    </row>
    <row r="87" spans="2:35" ht="23" customHeight="1" x14ac:dyDescent="0.15">
      <c r="B87" s="638"/>
      <c r="C87" s="520"/>
      <c r="D87" s="517"/>
      <c r="E87" s="578"/>
      <c r="F87" s="578"/>
      <c r="G87" s="520"/>
      <c r="H87" s="578"/>
      <c r="I87" s="578"/>
      <c r="J87" s="578"/>
      <c r="K87" s="586"/>
      <c r="L87" s="586"/>
      <c r="M87" s="586"/>
      <c r="N87" s="586"/>
      <c r="O87" s="586"/>
      <c r="P87" s="719"/>
      <c r="Q87" s="1001">
        <f t="shared" si="5"/>
        <v>0</v>
      </c>
      <c r="R87" s="851"/>
      <c r="S87" s="852"/>
      <c r="T87" s="626"/>
      <c r="V87" s="987"/>
      <c r="W87" s="989"/>
      <c r="X87" s="989"/>
      <c r="Y87" s="989"/>
      <c r="Z87" s="989"/>
      <c r="AA87" s="989"/>
      <c r="AB87" s="989"/>
      <c r="AC87" s="989"/>
      <c r="AD87" s="989"/>
      <c r="AE87" s="989"/>
      <c r="AF87" s="989"/>
      <c r="AG87" s="989"/>
      <c r="AH87" s="989"/>
      <c r="AI87" s="990"/>
    </row>
    <row r="88" spans="2:35" ht="23" customHeight="1" x14ac:dyDescent="0.15">
      <c r="B88" s="638"/>
      <c r="C88" s="520"/>
      <c r="D88" s="517"/>
      <c r="E88" s="578"/>
      <c r="F88" s="578"/>
      <c r="G88" s="520"/>
      <c r="H88" s="578"/>
      <c r="I88" s="578"/>
      <c r="J88" s="578"/>
      <c r="K88" s="586"/>
      <c r="L88" s="586"/>
      <c r="M88" s="586"/>
      <c r="N88" s="586"/>
      <c r="O88" s="586"/>
      <c r="P88" s="719"/>
      <c r="Q88" s="1001">
        <f t="shared" si="5"/>
        <v>0</v>
      </c>
      <c r="R88" s="851"/>
      <c r="S88" s="852"/>
      <c r="T88" s="626"/>
      <c r="V88" s="987"/>
      <c r="W88" s="989"/>
      <c r="X88" s="989"/>
      <c r="Y88" s="989"/>
      <c r="Z88" s="989"/>
      <c r="AA88" s="989"/>
      <c r="AB88" s="989"/>
      <c r="AC88" s="989"/>
      <c r="AD88" s="989"/>
      <c r="AE88" s="989"/>
      <c r="AF88" s="989"/>
      <c r="AG88" s="989"/>
      <c r="AH88" s="989"/>
      <c r="AI88" s="990"/>
    </row>
    <row r="89" spans="2:35" ht="23" customHeight="1" x14ac:dyDescent="0.15">
      <c r="B89" s="638"/>
      <c r="C89" s="520"/>
      <c r="D89" s="517"/>
      <c r="E89" s="578"/>
      <c r="F89" s="578"/>
      <c r="G89" s="520"/>
      <c r="H89" s="578"/>
      <c r="I89" s="578"/>
      <c r="J89" s="578"/>
      <c r="K89" s="586"/>
      <c r="L89" s="586"/>
      <c r="M89" s="586"/>
      <c r="N89" s="586"/>
      <c r="O89" s="586"/>
      <c r="P89" s="719"/>
      <c r="Q89" s="1001">
        <f t="shared" si="5"/>
        <v>0</v>
      </c>
      <c r="R89" s="851"/>
      <c r="S89" s="852"/>
      <c r="T89" s="626"/>
      <c r="V89" s="987"/>
      <c r="W89" s="989"/>
      <c r="X89" s="989"/>
      <c r="Y89" s="989"/>
      <c r="Z89" s="989"/>
      <c r="AA89" s="989"/>
      <c r="AB89" s="989"/>
      <c r="AC89" s="989"/>
      <c r="AD89" s="989"/>
      <c r="AE89" s="989"/>
      <c r="AF89" s="989"/>
      <c r="AG89" s="989"/>
      <c r="AH89" s="989"/>
      <c r="AI89" s="990"/>
    </row>
    <row r="90" spans="2:35" ht="23" customHeight="1" x14ac:dyDescent="0.15">
      <c r="B90" s="638"/>
      <c r="C90" s="520"/>
      <c r="D90" s="517"/>
      <c r="E90" s="578"/>
      <c r="F90" s="578"/>
      <c r="G90" s="520"/>
      <c r="H90" s="578"/>
      <c r="I90" s="578"/>
      <c r="J90" s="578"/>
      <c r="K90" s="586"/>
      <c r="L90" s="586"/>
      <c r="M90" s="586"/>
      <c r="N90" s="586"/>
      <c r="O90" s="586"/>
      <c r="P90" s="719"/>
      <c r="Q90" s="1001">
        <f t="shared" si="5"/>
        <v>0</v>
      </c>
      <c r="R90" s="851"/>
      <c r="S90" s="852"/>
      <c r="T90" s="626"/>
      <c r="V90" s="987"/>
      <c r="W90" s="989"/>
      <c r="X90" s="989"/>
      <c r="Y90" s="989"/>
      <c r="Z90" s="989"/>
      <c r="AA90" s="989"/>
      <c r="AB90" s="989"/>
      <c r="AC90" s="989"/>
      <c r="AD90" s="989"/>
      <c r="AE90" s="989"/>
      <c r="AF90" s="989"/>
      <c r="AG90" s="989"/>
      <c r="AH90" s="989"/>
      <c r="AI90" s="990"/>
    </row>
    <row r="91" spans="2:35" ht="23" customHeight="1" x14ac:dyDescent="0.15">
      <c r="B91" s="638"/>
      <c r="C91" s="520"/>
      <c r="D91" s="517"/>
      <c r="E91" s="578"/>
      <c r="F91" s="578"/>
      <c r="G91" s="520"/>
      <c r="H91" s="578"/>
      <c r="I91" s="578"/>
      <c r="J91" s="578"/>
      <c r="K91" s="586"/>
      <c r="L91" s="586"/>
      <c r="M91" s="586"/>
      <c r="N91" s="586"/>
      <c r="O91" s="586"/>
      <c r="P91" s="719"/>
      <c r="Q91" s="1001">
        <f t="shared" si="5"/>
        <v>0</v>
      </c>
      <c r="R91" s="851"/>
      <c r="S91" s="852"/>
      <c r="T91" s="626"/>
      <c r="V91" s="987"/>
      <c r="W91" s="989"/>
      <c r="X91" s="989"/>
      <c r="Y91" s="989"/>
      <c r="Z91" s="989"/>
      <c r="AA91" s="989"/>
      <c r="AB91" s="989"/>
      <c r="AC91" s="989"/>
      <c r="AD91" s="989"/>
      <c r="AE91" s="989"/>
      <c r="AF91" s="989"/>
      <c r="AG91" s="989"/>
      <c r="AH91" s="989"/>
      <c r="AI91" s="990"/>
    </row>
    <row r="92" spans="2:35" ht="23" customHeight="1" x14ac:dyDescent="0.15">
      <c r="B92" s="638"/>
      <c r="C92" s="520"/>
      <c r="D92" s="517"/>
      <c r="E92" s="578"/>
      <c r="F92" s="578"/>
      <c r="G92" s="520"/>
      <c r="H92" s="578"/>
      <c r="I92" s="578"/>
      <c r="J92" s="578"/>
      <c r="K92" s="586"/>
      <c r="L92" s="586"/>
      <c r="M92" s="586"/>
      <c r="N92" s="586"/>
      <c r="O92" s="586"/>
      <c r="P92" s="719"/>
      <c r="Q92" s="1001">
        <f t="shared" si="5"/>
        <v>0</v>
      </c>
      <c r="R92" s="851"/>
      <c r="S92" s="852"/>
      <c r="T92" s="626"/>
      <c r="V92" s="987"/>
      <c r="W92" s="989"/>
      <c r="X92" s="989"/>
      <c r="Y92" s="989"/>
      <c r="Z92" s="989"/>
      <c r="AA92" s="989"/>
      <c r="AB92" s="989"/>
      <c r="AC92" s="989"/>
      <c r="AD92" s="989"/>
      <c r="AE92" s="989"/>
      <c r="AF92" s="989"/>
      <c r="AG92" s="989"/>
      <c r="AH92" s="989"/>
      <c r="AI92" s="990"/>
    </row>
    <row r="93" spans="2:35" ht="23" customHeight="1" x14ac:dyDescent="0.15">
      <c r="B93" s="638"/>
      <c r="C93" s="520"/>
      <c r="D93" s="517"/>
      <c r="E93" s="578"/>
      <c r="F93" s="578"/>
      <c r="G93" s="520"/>
      <c r="H93" s="578"/>
      <c r="I93" s="578"/>
      <c r="J93" s="578"/>
      <c r="K93" s="586"/>
      <c r="L93" s="586"/>
      <c r="M93" s="586"/>
      <c r="N93" s="586"/>
      <c r="O93" s="586"/>
      <c r="P93" s="719"/>
      <c r="Q93" s="1001">
        <f t="shared" si="5"/>
        <v>0</v>
      </c>
      <c r="R93" s="851"/>
      <c r="S93" s="852"/>
      <c r="T93" s="626"/>
      <c r="V93" s="987"/>
      <c r="W93" s="989"/>
      <c r="X93" s="989"/>
      <c r="Y93" s="989"/>
      <c r="Z93" s="989"/>
      <c r="AA93" s="989"/>
      <c r="AB93" s="989"/>
      <c r="AC93" s="989"/>
      <c r="AD93" s="989"/>
      <c r="AE93" s="989"/>
      <c r="AF93" s="989"/>
      <c r="AG93" s="989"/>
      <c r="AH93" s="989"/>
      <c r="AI93" s="990"/>
    </row>
    <row r="94" spans="2:35" ht="23" customHeight="1" x14ac:dyDescent="0.15">
      <c r="B94" s="638"/>
      <c r="C94" s="520"/>
      <c r="D94" s="517"/>
      <c r="E94" s="578"/>
      <c r="F94" s="578"/>
      <c r="G94" s="520"/>
      <c r="H94" s="578"/>
      <c r="I94" s="578"/>
      <c r="J94" s="578"/>
      <c r="K94" s="586"/>
      <c r="L94" s="586"/>
      <c r="M94" s="586"/>
      <c r="N94" s="586"/>
      <c r="O94" s="586"/>
      <c r="P94" s="719"/>
      <c r="Q94" s="1001">
        <f t="shared" si="5"/>
        <v>0</v>
      </c>
      <c r="R94" s="851"/>
      <c r="S94" s="852"/>
      <c r="T94" s="626"/>
      <c r="V94" s="987"/>
      <c r="W94" s="989"/>
      <c r="X94" s="989"/>
      <c r="Y94" s="989"/>
      <c r="Z94" s="989"/>
      <c r="AA94" s="989"/>
      <c r="AB94" s="989"/>
      <c r="AC94" s="989"/>
      <c r="AD94" s="989"/>
      <c r="AE94" s="989"/>
      <c r="AF94" s="989"/>
      <c r="AG94" s="989"/>
      <c r="AH94" s="989"/>
      <c r="AI94" s="990"/>
    </row>
    <row r="95" spans="2:35" ht="23" customHeight="1" x14ac:dyDescent="0.15">
      <c r="B95" s="638"/>
      <c r="C95" s="520"/>
      <c r="D95" s="517"/>
      <c r="E95" s="578"/>
      <c r="F95" s="578"/>
      <c r="G95" s="520"/>
      <c r="H95" s="578"/>
      <c r="I95" s="578"/>
      <c r="J95" s="578"/>
      <c r="K95" s="586"/>
      <c r="L95" s="586"/>
      <c r="M95" s="586"/>
      <c r="N95" s="586"/>
      <c r="O95" s="586"/>
      <c r="P95" s="719"/>
      <c r="Q95" s="1001">
        <f t="shared" si="5"/>
        <v>0</v>
      </c>
      <c r="R95" s="851"/>
      <c r="S95" s="852"/>
      <c r="T95" s="626"/>
      <c r="V95" s="987"/>
      <c r="W95" s="989"/>
      <c r="X95" s="989"/>
      <c r="Y95" s="989"/>
      <c r="Z95" s="989"/>
      <c r="AA95" s="989"/>
      <c r="AB95" s="989"/>
      <c r="AC95" s="989"/>
      <c r="AD95" s="989"/>
      <c r="AE95" s="989"/>
      <c r="AF95" s="989"/>
      <c r="AG95" s="989"/>
      <c r="AH95" s="989"/>
      <c r="AI95" s="990"/>
    </row>
    <row r="96" spans="2:35" ht="23" customHeight="1" x14ac:dyDescent="0.15">
      <c r="B96" s="638"/>
      <c r="C96" s="520"/>
      <c r="D96" s="517"/>
      <c r="E96" s="578"/>
      <c r="F96" s="578"/>
      <c r="G96" s="520"/>
      <c r="H96" s="578"/>
      <c r="I96" s="578"/>
      <c r="J96" s="578"/>
      <c r="K96" s="586"/>
      <c r="L96" s="586"/>
      <c r="M96" s="586"/>
      <c r="N96" s="586"/>
      <c r="O96" s="586"/>
      <c r="P96" s="719"/>
      <c r="Q96" s="1001">
        <f t="shared" si="5"/>
        <v>0</v>
      </c>
      <c r="R96" s="851"/>
      <c r="S96" s="852"/>
      <c r="T96" s="626"/>
      <c r="V96" s="987"/>
      <c r="W96" s="989"/>
      <c r="X96" s="989"/>
      <c r="Y96" s="989"/>
      <c r="Z96" s="989"/>
      <c r="AA96" s="989"/>
      <c r="AB96" s="989"/>
      <c r="AC96" s="989"/>
      <c r="AD96" s="989"/>
      <c r="AE96" s="989"/>
      <c r="AF96" s="989"/>
      <c r="AG96" s="989"/>
      <c r="AH96" s="989"/>
      <c r="AI96" s="990"/>
    </row>
    <row r="97" spans="2:35" ht="23" customHeight="1" x14ac:dyDescent="0.15">
      <c r="B97" s="638"/>
      <c r="C97" s="520"/>
      <c r="D97" s="517"/>
      <c r="E97" s="578"/>
      <c r="F97" s="578"/>
      <c r="G97" s="520"/>
      <c r="H97" s="578"/>
      <c r="I97" s="578"/>
      <c r="J97" s="578"/>
      <c r="K97" s="586"/>
      <c r="L97" s="586"/>
      <c r="M97" s="586"/>
      <c r="N97" s="586"/>
      <c r="O97" s="586"/>
      <c r="P97" s="719"/>
      <c r="Q97" s="1001">
        <f t="shared" si="5"/>
        <v>0</v>
      </c>
      <c r="R97" s="851"/>
      <c r="S97" s="852"/>
      <c r="T97" s="626"/>
      <c r="V97" s="987"/>
      <c r="W97" s="989"/>
      <c r="X97" s="989"/>
      <c r="Y97" s="989"/>
      <c r="Z97" s="989"/>
      <c r="AA97" s="989"/>
      <c r="AB97" s="989"/>
      <c r="AC97" s="989"/>
      <c r="AD97" s="989"/>
      <c r="AE97" s="989"/>
      <c r="AF97" s="989"/>
      <c r="AG97" s="989"/>
      <c r="AH97" s="989"/>
      <c r="AI97" s="990"/>
    </row>
    <row r="98" spans="2:35" ht="23" customHeight="1" x14ac:dyDescent="0.15">
      <c r="B98" s="638"/>
      <c r="C98" s="520"/>
      <c r="D98" s="517"/>
      <c r="E98" s="578"/>
      <c r="F98" s="578"/>
      <c r="G98" s="520"/>
      <c r="H98" s="578"/>
      <c r="I98" s="578"/>
      <c r="J98" s="578"/>
      <c r="K98" s="586"/>
      <c r="L98" s="586"/>
      <c r="M98" s="586"/>
      <c r="N98" s="586"/>
      <c r="O98" s="586"/>
      <c r="P98" s="719"/>
      <c r="Q98" s="1001">
        <f t="shared" si="5"/>
        <v>0</v>
      </c>
      <c r="R98" s="851"/>
      <c r="S98" s="852"/>
      <c r="T98" s="626"/>
      <c r="V98" s="987"/>
      <c r="W98" s="989"/>
      <c r="X98" s="989"/>
      <c r="Y98" s="989"/>
      <c r="Z98" s="989"/>
      <c r="AA98" s="989"/>
      <c r="AB98" s="989"/>
      <c r="AC98" s="989"/>
      <c r="AD98" s="989"/>
      <c r="AE98" s="989"/>
      <c r="AF98" s="989"/>
      <c r="AG98" s="989"/>
      <c r="AH98" s="989"/>
      <c r="AI98" s="990"/>
    </row>
    <row r="99" spans="2:35" ht="23" customHeight="1" x14ac:dyDescent="0.15">
      <c r="B99" s="638"/>
      <c r="C99" s="520"/>
      <c r="D99" s="517"/>
      <c r="E99" s="578"/>
      <c r="F99" s="578"/>
      <c r="G99" s="520"/>
      <c r="H99" s="578"/>
      <c r="I99" s="578"/>
      <c r="J99" s="578"/>
      <c r="K99" s="586"/>
      <c r="L99" s="586"/>
      <c r="M99" s="586"/>
      <c r="N99" s="586"/>
      <c r="O99" s="586"/>
      <c r="P99" s="719"/>
      <c r="Q99" s="1001">
        <f t="shared" si="5"/>
        <v>0</v>
      </c>
      <c r="R99" s="851"/>
      <c r="S99" s="852"/>
      <c r="T99" s="626"/>
      <c r="V99" s="987"/>
      <c r="W99" s="989"/>
      <c r="X99" s="989"/>
      <c r="Y99" s="989"/>
      <c r="Z99" s="989"/>
      <c r="AA99" s="989"/>
      <c r="AB99" s="989"/>
      <c r="AC99" s="989"/>
      <c r="AD99" s="989"/>
      <c r="AE99" s="989"/>
      <c r="AF99" s="989"/>
      <c r="AG99" s="989"/>
      <c r="AH99" s="989"/>
      <c r="AI99" s="990"/>
    </row>
    <row r="100" spans="2:35" ht="23" customHeight="1" x14ac:dyDescent="0.15">
      <c r="B100" s="638"/>
      <c r="C100" s="520"/>
      <c r="D100" s="517"/>
      <c r="E100" s="578"/>
      <c r="F100" s="578"/>
      <c r="G100" s="520"/>
      <c r="H100" s="578"/>
      <c r="I100" s="578"/>
      <c r="J100" s="578"/>
      <c r="K100" s="586"/>
      <c r="L100" s="586"/>
      <c r="M100" s="586"/>
      <c r="N100" s="586"/>
      <c r="O100" s="586"/>
      <c r="P100" s="719"/>
      <c r="Q100" s="1001">
        <f t="shared" si="5"/>
        <v>0</v>
      </c>
      <c r="R100" s="851"/>
      <c r="S100" s="852"/>
      <c r="T100" s="626"/>
      <c r="V100" s="987"/>
      <c r="W100" s="989"/>
      <c r="X100" s="989"/>
      <c r="Y100" s="989"/>
      <c r="Z100" s="989"/>
      <c r="AA100" s="989"/>
      <c r="AB100" s="989"/>
      <c r="AC100" s="989"/>
      <c r="AD100" s="989"/>
      <c r="AE100" s="989"/>
      <c r="AF100" s="989"/>
      <c r="AG100" s="989"/>
      <c r="AH100" s="989"/>
      <c r="AI100" s="990"/>
    </row>
    <row r="101" spans="2:35" ht="23" customHeight="1" x14ac:dyDescent="0.15">
      <c r="B101" s="638"/>
      <c r="C101" s="520"/>
      <c r="D101" s="517"/>
      <c r="E101" s="578"/>
      <c r="F101" s="578"/>
      <c r="G101" s="520"/>
      <c r="H101" s="578"/>
      <c r="I101" s="578"/>
      <c r="J101" s="578"/>
      <c r="K101" s="586"/>
      <c r="L101" s="586"/>
      <c r="M101" s="586"/>
      <c r="N101" s="586"/>
      <c r="O101" s="586"/>
      <c r="P101" s="719"/>
      <c r="Q101" s="1001">
        <f t="shared" si="5"/>
        <v>0</v>
      </c>
      <c r="R101" s="851"/>
      <c r="S101" s="852"/>
      <c r="T101" s="626"/>
      <c r="V101" s="987"/>
      <c r="W101" s="989"/>
      <c r="X101" s="989"/>
      <c r="Y101" s="989"/>
      <c r="Z101" s="989"/>
      <c r="AA101" s="989"/>
      <c r="AB101" s="989"/>
      <c r="AC101" s="989"/>
      <c r="AD101" s="989"/>
      <c r="AE101" s="989"/>
      <c r="AF101" s="989"/>
      <c r="AG101" s="989"/>
      <c r="AH101" s="989"/>
      <c r="AI101" s="990"/>
    </row>
    <row r="102" spans="2:35" ht="23" customHeight="1" x14ac:dyDescent="0.15">
      <c r="B102" s="638"/>
      <c r="C102" s="520"/>
      <c r="D102" s="517"/>
      <c r="E102" s="578"/>
      <c r="F102" s="578"/>
      <c r="G102" s="520"/>
      <c r="H102" s="578"/>
      <c r="I102" s="578"/>
      <c r="J102" s="578"/>
      <c r="K102" s="586"/>
      <c r="L102" s="586"/>
      <c r="M102" s="586"/>
      <c r="N102" s="586"/>
      <c r="O102" s="586"/>
      <c r="P102" s="719"/>
      <c r="Q102" s="1001">
        <f t="shared" si="5"/>
        <v>0</v>
      </c>
      <c r="R102" s="851"/>
      <c r="S102" s="852"/>
      <c r="T102" s="626"/>
      <c r="V102" s="987"/>
      <c r="W102" s="989"/>
      <c r="X102" s="989"/>
      <c r="Y102" s="989"/>
      <c r="Z102" s="989"/>
      <c r="AA102" s="989"/>
      <c r="AB102" s="989"/>
      <c r="AC102" s="989"/>
      <c r="AD102" s="989"/>
      <c r="AE102" s="989"/>
      <c r="AF102" s="989"/>
      <c r="AG102" s="989"/>
      <c r="AH102" s="989"/>
      <c r="AI102" s="990"/>
    </row>
    <row r="103" spans="2:35" ht="23" customHeight="1" x14ac:dyDescent="0.15">
      <c r="B103" s="638"/>
      <c r="C103" s="520"/>
      <c r="D103" s="517"/>
      <c r="E103" s="578"/>
      <c r="F103" s="578"/>
      <c r="G103" s="520"/>
      <c r="H103" s="578"/>
      <c r="I103" s="578"/>
      <c r="J103" s="578"/>
      <c r="K103" s="586"/>
      <c r="L103" s="586"/>
      <c r="M103" s="586"/>
      <c r="N103" s="586"/>
      <c r="O103" s="586"/>
      <c r="P103" s="719"/>
      <c r="Q103" s="1001">
        <f t="shared" si="5"/>
        <v>0</v>
      </c>
      <c r="R103" s="851"/>
      <c r="S103" s="852"/>
      <c r="T103" s="626"/>
      <c r="V103" s="987"/>
      <c r="W103" s="989"/>
      <c r="X103" s="989"/>
      <c r="Y103" s="989"/>
      <c r="Z103" s="989"/>
      <c r="AA103" s="989"/>
      <c r="AB103" s="989"/>
      <c r="AC103" s="989"/>
      <c r="AD103" s="989"/>
      <c r="AE103" s="989"/>
      <c r="AF103" s="989"/>
      <c r="AG103" s="989"/>
      <c r="AH103" s="989"/>
      <c r="AI103" s="990"/>
    </row>
    <row r="104" spans="2:35" ht="23" customHeight="1" x14ac:dyDescent="0.15">
      <c r="B104" s="638"/>
      <c r="C104" s="520"/>
      <c r="D104" s="517"/>
      <c r="E104" s="578"/>
      <c r="F104" s="578"/>
      <c r="G104" s="520"/>
      <c r="H104" s="578"/>
      <c r="I104" s="578"/>
      <c r="J104" s="578"/>
      <c r="K104" s="586"/>
      <c r="L104" s="586"/>
      <c r="M104" s="586"/>
      <c r="N104" s="586"/>
      <c r="O104" s="586"/>
      <c r="P104" s="719"/>
      <c r="Q104" s="1001">
        <f t="shared" si="5"/>
        <v>0</v>
      </c>
      <c r="R104" s="851"/>
      <c r="S104" s="852"/>
      <c r="T104" s="626"/>
      <c r="V104" s="987"/>
      <c r="W104" s="989"/>
      <c r="X104" s="989"/>
      <c r="Y104" s="989"/>
      <c r="Z104" s="989"/>
      <c r="AA104" s="989"/>
      <c r="AB104" s="989"/>
      <c r="AC104" s="989"/>
      <c r="AD104" s="989"/>
      <c r="AE104" s="989"/>
      <c r="AF104" s="989"/>
      <c r="AG104" s="989"/>
      <c r="AH104" s="989"/>
      <c r="AI104" s="990"/>
    </row>
    <row r="105" spans="2:35" ht="23" customHeight="1" x14ac:dyDescent="0.15">
      <c r="B105" s="638"/>
      <c r="C105" s="520"/>
      <c r="D105" s="518"/>
      <c r="E105" s="579"/>
      <c r="F105" s="579"/>
      <c r="G105" s="521"/>
      <c r="H105" s="579"/>
      <c r="I105" s="579"/>
      <c r="J105" s="579"/>
      <c r="K105" s="587"/>
      <c r="L105" s="587"/>
      <c r="M105" s="587"/>
      <c r="N105" s="587"/>
      <c r="O105" s="587"/>
      <c r="P105" s="720"/>
      <c r="Q105" s="1002">
        <f t="shared" si="5"/>
        <v>0</v>
      </c>
      <c r="R105" s="851"/>
      <c r="S105" s="852"/>
      <c r="T105" s="626"/>
      <c r="V105" s="987"/>
      <c r="W105" s="989"/>
      <c r="X105" s="989"/>
      <c r="Y105" s="989"/>
      <c r="Z105" s="989"/>
      <c r="AA105" s="989"/>
      <c r="AB105" s="989"/>
      <c r="AC105" s="989"/>
      <c r="AD105" s="989"/>
      <c r="AE105" s="989"/>
      <c r="AF105" s="989"/>
      <c r="AG105" s="989"/>
      <c r="AH105" s="989"/>
      <c r="AI105" s="990"/>
    </row>
    <row r="106" spans="2:35" ht="23" customHeight="1" x14ac:dyDescent="0.15">
      <c r="B106" s="638"/>
      <c r="C106" s="522"/>
      <c r="D106" s="519"/>
      <c r="E106" s="580"/>
      <c r="F106" s="580"/>
      <c r="G106" s="522"/>
      <c r="H106" s="580"/>
      <c r="I106" s="580"/>
      <c r="J106" s="580"/>
      <c r="K106" s="588"/>
      <c r="L106" s="588"/>
      <c r="M106" s="588"/>
      <c r="N106" s="588"/>
      <c r="O106" s="588"/>
      <c r="P106" s="721"/>
      <c r="Q106" s="1003">
        <f t="shared" si="5"/>
        <v>0</v>
      </c>
      <c r="R106" s="853"/>
      <c r="S106" s="854"/>
      <c r="T106" s="626"/>
      <c r="V106" s="987"/>
      <c r="W106" s="989"/>
      <c r="X106" s="989"/>
      <c r="Y106" s="989"/>
      <c r="Z106" s="989"/>
      <c r="AA106" s="989"/>
      <c r="AB106" s="989"/>
      <c r="AC106" s="989"/>
      <c r="AD106" s="989"/>
      <c r="AE106" s="989"/>
      <c r="AF106" s="989"/>
      <c r="AG106" s="989"/>
      <c r="AH106" s="989"/>
      <c r="AI106" s="990"/>
    </row>
    <row r="107" spans="2:35" ht="23" customHeight="1" thickBot="1" x14ac:dyDescent="0.2">
      <c r="B107" s="638"/>
      <c r="C107" s="616"/>
      <c r="D107" s="616"/>
      <c r="E107" s="981"/>
      <c r="F107" s="981"/>
      <c r="G107" s="981"/>
      <c r="H107" s="1487" t="s">
        <v>471</v>
      </c>
      <c r="I107" s="1488"/>
      <c r="J107" s="1489"/>
      <c r="K107" s="1004">
        <f>SUM(K82:K106)</f>
        <v>0</v>
      </c>
      <c r="L107" s="1005">
        <f t="shared" ref="L107" si="6">SUM(L82:L106)</f>
        <v>0</v>
      </c>
      <c r="M107" s="1006">
        <f>SUM(M82:M106)</f>
        <v>0</v>
      </c>
      <c r="N107" s="1006">
        <f t="shared" ref="N107" si="7">SUM(N82:N106)</f>
        <v>0</v>
      </c>
      <c r="O107" s="1004">
        <f>SUM(O82:O106)</f>
        <v>0</v>
      </c>
      <c r="P107" s="1004">
        <f>SUM(P82:P106)</f>
        <v>0</v>
      </c>
      <c r="Q107" s="1007">
        <f>SUM(Q82:Q106)</f>
        <v>0</v>
      </c>
      <c r="R107" s="1006">
        <f>SUM(R82:R106)</f>
        <v>0</v>
      </c>
      <c r="S107" s="674">
        <f>SUM(S82:S106)</f>
        <v>0</v>
      </c>
      <c r="T107" s="626"/>
      <c r="V107" s="987"/>
      <c r="W107" s="989"/>
      <c r="X107" s="989"/>
      <c r="Y107" s="989"/>
      <c r="Z107" s="989"/>
      <c r="AA107" s="989"/>
      <c r="AB107" s="989"/>
      <c r="AC107" s="989"/>
      <c r="AD107" s="989"/>
      <c r="AE107" s="989"/>
      <c r="AF107" s="989"/>
      <c r="AG107" s="989"/>
      <c r="AH107" s="989"/>
      <c r="AI107" s="990"/>
    </row>
    <row r="108" spans="2:35" ht="23" customHeight="1" x14ac:dyDescent="0.15">
      <c r="B108" s="638"/>
      <c r="C108" s="616"/>
      <c r="D108" s="616"/>
      <c r="E108" s="981"/>
      <c r="F108" s="981"/>
      <c r="G108" s="981"/>
      <c r="H108" s="1009"/>
      <c r="I108" s="1009"/>
      <c r="J108" s="1009"/>
      <c r="K108" s="981"/>
      <c r="L108" s="981"/>
      <c r="M108" s="981"/>
      <c r="N108" s="981"/>
      <c r="O108" s="981"/>
      <c r="P108" s="981"/>
      <c r="Q108" s="981"/>
      <c r="R108" s="981"/>
      <c r="S108" s="981"/>
      <c r="T108" s="626"/>
      <c r="V108" s="987"/>
      <c r="W108" s="989"/>
      <c r="X108" s="989"/>
      <c r="Y108" s="989"/>
      <c r="Z108" s="989"/>
      <c r="AA108" s="989"/>
      <c r="AB108" s="989"/>
      <c r="AC108" s="989"/>
      <c r="AD108" s="989"/>
      <c r="AE108" s="989"/>
      <c r="AF108" s="989"/>
      <c r="AG108" s="989"/>
      <c r="AH108" s="989"/>
      <c r="AI108" s="990"/>
    </row>
    <row r="109" spans="2:35" ht="23" customHeight="1" x14ac:dyDescent="0.15">
      <c r="B109" s="638"/>
      <c r="C109" s="616"/>
      <c r="D109" s="616"/>
      <c r="E109" s="981"/>
      <c r="F109" s="981"/>
      <c r="G109" s="981"/>
      <c r="H109" s="1009"/>
      <c r="I109" s="1009"/>
      <c r="J109" s="1009"/>
      <c r="K109" s="981"/>
      <c r="L109" s="981"/>
      <c r="M109" s="981"/>
      <c r="N109" s="981"/>
      <c r="O109" s="981"/>
      <c r="P109" s="981"/>
      <c r="Q109" s="981"/>
      <c r="R109" s="981"/>
      <c r="S109" s="981"/>
      <c r="T109" s="626"/>
      <c r="V109" s="987"/>
      <c r="W109" s="989"/>
      <c r="X109" s="989"/>
      <c r="Y109" s="989"/>
      <c r="Z109" s="989"/>
      <c r="AA109" s="989"/>
      <c r="AB109" s="989"/>
      <c r="AC109" s="989"/>
      <c r="AD109" s="989"/>
      <c r="AE109" s="989"/>
      <c r="AF109" s="989"/>
      <c r="AG109" s="989"/>
      <c r="AH109" s="989"/>
      <c r="AI109" s="990"/>
    </row>
    <row r="110" spans="2:35" s="1016" customFormat="1" ht="18" customHeight="1" x14ac:dyDescent="0.2">
      <c r="B110" s="1011"/>
      <c r="C110" s="769" t="s">
        <v>405</v>
      </c>
      <c r="D110" s="1012"/>
      <c r="E110" s="1013"/>
      <c r="F110" s="1013"/>
      <c r="G110" s="1013"/>
      <c r="H110" s="1013"/>
      <c r="I110" s="1013"/>
      <c r="J110" s="1013"/>
      <c r="K110" s="1013"/>
      <c r="L110" s="1013"/>
      <c r="M110" s="1013"/>
      <c r="N110" s="1014"/>
      <c r="O110" s="1014"/>
      <c r="P110" s="1014"/>
      <c r="Q110" s="1014"/>
      <c r="R110" s="1014"/>
      <c r="S110" s="1014"/>
      <c r="T110" s="1015"/>
      <c r="V110" s="1017"/>
      <c r="W110" s="1018"/>
      <c r="X110" s="1018"/>
      <c r="Y110" s="1018"/>
      <c r="Z110" s="1018"/>
      <c r="AA110" s="1018"/>
      <c r="AB110" s="1018"/>
      <c r="AC110" s="1018"/>
      <c r="AD110" s="1018"/>
      <c r="AE110" s="1018"/>
      <c r="AF110" s="1018"/>
      <c r="AG110" s="1018"/>
      <c r="AH110" s="1018"/>
      <c r="AI110" s="1019"/>
    </row>
    <row r="111" spans="2:35" s="1016" customFormat="1" ht="18" customHeight="1" x14ac:dyDescent="0.2">
      <c r="B111" s="1011"/>
      <c r="C111" s="1012" t="s">
        <v>947</v>
      </c>
      <c r="D111" s="1012"/>
      <c r="E111" s="1013"/>
      <c r="F111" s="1013"/>
      <c r="G111" s="1013"/>
      <c r="H111" s="1013"/>
      <c r="I111" s="1013"/>
      <c r="J111" s="1013"/>
      <c r="K111" s="1013"/>
      <c r="L111" s="1013"/>
      <c r="M111" s="1013"/>
      <c r="N111" s="1014"/>
      <c r="O111" s="1014"/>
      <c r="P111" s="1014"/>
      <c r="Q111" s="1014"/>
      <c r="R111" s="1014"/>
      <c r="S111" s="1014"/>
      <c r="T111" s="1015"/>
      <c r="V111" s="1017"/>
      <c r="W111" s="1018"/>
      <c r="X111" s="1018"/>
      <c r="Y111" s="1018"/>
      <c r="Z111" s="1018"/>
      <c r="AA111" s="1018"/>
      <c r="AB111" s="1018"/>
      <c r="AC111" s="1018"/>
      <c r="AD111" s="1018"/>
      <c r="AE111" s="1018"/>
      <c r="AF111" s="1018"/>
      <c r="AG111" s="1018"/>
      <c r="AH111" s="1018"/>
      <c r="AI111" s="1019"/>
    </row>
    <row r="112" spans="2:35" s="1016" customFormat="1" ht="18" customHeight="1" x14ac:dyDescent="0.2">
      <c r="B112" s="1011"/>
      <c r="C112" s="1012" t="s">
        <v>946</v>
      </c>
      <c r="D112" s="1012"/>
      <c r="E112" s="1013"/>
      <c r="F112" s="1013"/>
      <c r="G112" s="1013"/>
      <c r="H112" s="1013"/>
      <c r="I112" s="1013"/>
      <c r="J112" s="1013"/>
      <c r="K112" s="1013"/>
      <c r="L112" s="1013"/>
      <c r="M112" s="1013"/>
      <c r="N112" s="1014"/>
      <c r="O112" s="1014"/>
      <c r="P112" s="1014"/>
      <c r="Q112" s="1014"/>
      <c r="R112" s="1014"/>
      <c r="S112" s="1014"/>
      <c r="T112" s="1015"/>
      <c r="V112" s="1017"/>
      <c r="W112" s="1018"/>
      <c r="X112" s="1018"/>
      <c r="Y112" s="1018"/>
      <c r="Z112" s="1018"/>
      <c r="AA112" s="1018"/>
      <c r="AB112" s="1018"/>
      <c r="AC112" s="1018"/>
      <c r="AD112" s="1018"/>
      <c r="AE112" s="1018"/>
      <c r="AF112" s="1018"/>
      <c r="AG112" s="1018"/>
      <c r="AH112" s="1018"/>
      <c r="AI112" s="1019"/>
    </row>
    <row r="113" spans="2:35" s="1016" customFormat="1" ht="18" customHeight="1" x14ac:dyDescent="0.2">
      <c r="B113" s="1011"/>
      <c r="C113" s="1012" t="s">
        <v>762</v>
      </c>
      <c r="D113" s="1012"/>
      <c r="E113" s="1013"/>
      <c r="F113" s="1013"/>
      <c r="G113" s="1013"/>
      <c r="H113" s="1013"/>
      <c r="I113" s="1013"/>
      <c r="J113" s="1013"/>
      <c r="K113" s="1013"/>
      <c r="L113" s="1013"/>
      <c r="M113" s="1013"/>
      <c r="N113" s="1014"/>
      <c r="O113" s="1014"/>
      <c r="P113" s="1014"/>
      <c r="Q113" s="1014"/>
      <c r="R113" s="1014"/>
      <c r="S113" s="1014"/>
      <c r="T113" s="1015"/>
      <c r="V113" s="1017"/>
      <c r="W113" s="1018"/>
      <c r="X113" s="1018"/>
      <c r="Y113" s="1018"/>
      <c r="Z113" s="1018"/>
      <c r="AA113" s="1018"/>
      <c r="AB113" s="1018"/>
      <c r="AC113" s="1018"/>
      <c r="AD113" s="1018"/>
      <c r="AE113" s="1018"/>
      <c r="AF113" s="1018"/>
      <c r="AG113" s="1018"/>
      <c r="AH113" s="1018"/>
      <c r="AI113" s="1019"/>
    </row>
    <row r="114" spans="2:35" s="1016" customFormat="1" ht="18" customHeight="1" x14ac:dyDescent="0.2">
      <c r="B114" s="1011"/>
      <c r="C114" s="1020" t="s">
        <v>747</v>
      </c>
      <c r="D114" s="1012"/>
      <c r="E114" s="1013"/>
      <c r="F114" s="1013"/>
      <c r="G114" s="1013"/>
      <c r="H114" s="1013"/>
      <c r="I114" s="1013"/>
      <c r="J114" s="1013"/>
      <c r="K114" s="1013"/>
      <c r="L114" s="1013"/>
      <c r="M114" s="1013"/>
      <c r="N114" s="1014"/>
      <c r="O114" s="1014"/>
      <c r="P114" s="1014"/>
      <c r="Q114" s="1014"/>
      <c r="R114" s="1014"/>
      <c r="S114" s="1014"/>
      <c r="T114" s="1015"/>
      <c r="V114" s="1017"/>
      <c r="W114" s="1018"/>
      <c r="X114" s="1018"/>
      <c r="Y114" s="1018"/>
      <c r="Z114" s="1018"/>
      <c r="AA114" s="1018"/>
      <c r="AB114" s="1018"/>
      <c r="AC114" s="1018"/>
      <c r="AD114" s="1018"/>
      <c r="AE114" s="1018"/>
      <c r="AF114" s="1018"/>
      <c r="AG114" s="1018"/>
      <c r="AH114" s="1018"/>
      <c r="AI114" s="1019"/>
    </row>
    <row r="115" spans="2:35" s="1016" customFormat="1" ht="18" customHeight="1" x14ac:dyDescent="0.2">
      <c r="B115" s="1011"/>
      <c r="C115" s="1020" t="s">
        <v>993</v>
      </c>
      <c r="D115" s="1012"/>
      <c r="E115" s="1013"/>
      <c r="F115" s="1013"/>
      <c r="G115" s="1013"/>
      <c r="H115" s="1013"/>
      <c r="I115" s="1013"/>
      <c r="J115" s="1013"/>
      <c r="K115" s="1013"/>
      <c r="L115" s="1013"/>
      <c r="M115" s="1013"/>
      <c r="N115" s="1014"/>
      <c r="O115" s="1014"/>
      <c r="P115" s="1014"/>
      <c r="Q115" s="1014"/>
      <c r="R115" s="1014"/>
      <c r="S115" s="1014"/>
      <c r="T115" s="1015"/>
      <c r="V115" s="1017"/>
      <c r="W115" s="1018"/>
      <c r="X115" s="1018"/>
      <c r="Y115" s="1018"/>
      <c r="Z115" s="1018"/>
      <c r="AA115" s="1018"/>
      <c r="AB115" s="1018"/>
      <c r="AC115" s="1018"/>
      <c r="AD115" s="1018"/>
      <c r="AE115" s="1018"/>
      <c r="AF115" s="1018"/>
      <c r="AG115" s="1018"/>
      <c r="AH115" s="1018"/>
      <c r="AI115" s="1019"/>
    </row>
    <row r="116" spans="2:35" s="1016" customFormat="1" ht="18" customHeight="1" x14ac:dyDescent="0.2">
      <c r="B116" s="1011"/>
      <c r="C116" s="1016" t="s">
        <v>994</v>
      </c>
      <c r="D116" s="1012"/>
      <c r="E116" s="1013"/>
      <c r="F116" s="1013"/>
      <c r="G116" s="1013"/>
      <c r="H116" s="1013"/>
      <c r="I116" s="1013"/>
      <c r="J116" s="1013"/>
      <c r="K116" s="1013"/>
      <c r="L116" s="1013"/>
      <c r="M116" s="1013"/>
      <c r="N116" s="1014"/>
      <c r="O116" s="1014"/>
      <c r="P116" s="1014"/>
      <c r="Q116" s="1014"/>
      <c r="R116" s="1014"/>
      <c r="S116" s="1014"/>
      <c r="T116" s="1015"/>
      <c r="V116" s="1017"/>
      <c r="W116" s="1018"/>
      <c r="X116" s="1018"/>
      <c r="Y116" s="1018"/>
      <c r="Z116" s="1018"/>
      <c r="AA116" s="1018"/>
      <c r="AB116" s="1018"/>
      <c r="AC116" s="1018"/>
      <c r="AD116" s="1018"/>
      <c r="AE116" s="1018"/>
      <c r="AF116" s="1018"/>
      <c r="AG116" s="1018"/>
      <c r="AH116" s="1018"/>
      <c r="AI116" s="1019"/>
    </row>
    <row r="117" spans="2:35" s="1016" customFormat="1" ht="18" customHeight="1" x14ac:dyDescent="0.2">
      <c r="B117" s="1011"/>
      <c r="C117" s="1021" t="s">
        <v>995</v>
      </c>
      <c r="D117" s="1012"/>
      <c r="E117" s="1022"/>
      <c r="F117" s="1022"/>
      <c r="G117" s="1022"/>
      <c r="H117" s="1022"/>
      <c r="I117" s="1022"/>
      <c r="J117" s="1022"/>
      <c r="K117" s="1022"/>
      <c r="L117" s="1022"/>
      <c r="M117" s="1022"/>
      <c r="N117" s="1014"/>
      <c r="O117" s="1014"/>
      <c r="P117" s="1014"/>
      <c r="Q117" s="1014"/>
      <c r="R117" s="1014"/>
      <c r="S117" s="1014"/>
      <c r="T117" s="1015"/>
      <c r="V117" s="1017"/>
      <c r="W117" s="1018"/>
      <c r="X117" s="1018"/>
      <c r="Y117" s="1018"/>
      <c r="Z117" s="1018"/>
      <c r="AA117" s="1018"/>
      <c r="AB117" s="1018"/>
      <c r="AC117" s="1018"/>
      <c r="AD117" s="1018"/>
      <c r="AE117" s="1018"/>
      <c r="AF117" s="1018"/>
      <c r="AG117" s="1018"/>
      <c r="AH117" s="1018"/>
      <c r="AI117" s="1019"/>
    </row>
    <row r="118" spans="2:35" s="1016" customFormat="1" ht="18" customHeight="1" x14ac:dyDescent="0.2">
      <c r="B118" s="1011"/>
      <c r="C118" s="1021" t="s">
        <v>996</v>
      </c>
      <c r="D118" s="1012"/>
      <c r="E118" s="1022"/>
      <c r="F118" s="1022"/>
      <c r="G118" s="1022"/>
      <c r="H118" s="1022"/>
      <c r="I118" s="1022"/>
      <c r="J118" s="1022"/>
      <c r="K118" s="1022"/>
      <c r="L118" s="1022"/>
      <c r="M118" s="1022"/>
      <c r="N118" s="1014"/>
      <c r="O118" s="1014"/>
      <c r="P118" s="1014"/>
      <c r="Q118" s="1014"/>
      <c r="R118" s="1014"/>
      <c r="S118" s="1014"/>
      <c r="T118" s="1015"/>
      <c r="V118" s="1017"/>
      <c r="W118" s="1018"/>
      <c r="X118" s="1018"/>
      <c r="Y118" s="1018"/>
      <c r="Z118" s="1018"/>
      <c r="AA118" s="1018"/>
      <c r="AB118" s="1018"/>
      <c r="AC118" s="1018"/>
      <c r="AD118" s="1018"/>
      <c r="AE118" s="1018"/>
      <c r="AF118" s="1018"/>
      <c r="AG118" s="1018"/>
      <c r="AH118" s="1018"/>
      <c r="AI118" s="1019"/>
    </row>
    <row r="119" spans="2:35" s="1016" customFormat="1" ht="18" customHeight="1" x14ac:dyDescent="0.2">
      <c r="B119" s="1011"/>
      <c r="C119" s="1021" t="s">
        <v>997</v>
      </c>
      <c r="D119" s="1012"/>
      <c r="E119" s="1022"/>
      <c r="F119" s="1022"/>
      <c r="G119" s="1022"/>
      <c r="H119" s="1022"/>
      <c r="I119" s="1022"/>
      <c r="J119" s="1022"/>
      <c r="K119" s="1022"/>
      <c r="L119" s="1022"/>
      <c r="M119" s="1022"/>
      <c r="N119" s="1014"/>
      <c r="O119" s="1014"/>
      <c r="P119" s="1014"/>
      <c r="Q119" s="1014"/>
      <c r="R119" s="1014"/>
      <c r="S119" s="1014"/>
      <c r="T119" s="1015"/>
      <c r="V119" s="1017"/>
      <c r="W119" s="1018"/>
      <c r="X119" s="1018"/>
      <c r="Y119" s="1018"/>
      <c r="Z119" s="1018"/>
      <c r="AA119" s="1018"/>
      <c r="AB119" s="1018"/>
      <c r="AC119" s="1018"/>
      <c r="AD119" s="1018"/>
      <c r="AE119" s="1018"/>
      <c r="AF119" s="1018"/>
      <c r="AG119" s="1018"/>
      <c r="AH119" s="1018"/>
      <c r="AI119" s="1019"/>
    </row>
    <row r="120" spans="2:35" ht="23" customHeight="1" thickBot="1" x14ac:dyDescent="0.2">
      <c r="B120" s="697"/>
      <c r="C120" s="1369"/>
      <c r="D120" s="1369"/>
      <c r="E120" s="957"/>
      <c r="F120" s="957"/>
      <c r="G120" s="957"/>
      <c r="H120" s="957"/>
      <c r="I120" s="957"/>
      <c r="J120" s="957"/>
      <c r="K120" s="957"/>
      <c r="L120" s="957"/>
      <c r="M120" s="957"/>
      <c r="N120" s="957"/>
      <c r="O120" s="957"/>
      <c r="P120" s="957"/>
      <c r="Q120" s="957"/>
      <c r="R120" s="957"/>
      <c r="S120" s="957"/>
      <c r="T120" s="699"/>
      <c r="V120" s="1023"/>
      <c r="W120" s="1024"/>
      <c r="X120" s="1024"/>
      <c r="Y120" s="1024"/>
      <c r="Z120" s="1024"/>
      <c r="AA120" s="1024"/>
      <c r="AB120" s="1024"/>
      <c r="AC120" s="1024"/>
      <c r="AD120" s="1024"/>
      <c r="AE120" s="1024"/>
      <c r="AF120" s="1024"/>
      <c r="AG120" s="1024"/>
      <c r="AH120" s="1024"/>
      <c r="AI120" s="1025"/>
    </row>
    <row r="121" spans="2:35" ht="23" customHeight="1" x14ac:dyDescent="0.15">
      <c r="C121" s="624"/>
      <c r="D121" s="624"/>
      <c r="E121" s="625"/>
      <c r="F121" s="625"/>
      <c r="G121" s="625"/>
      <c r="H121" s="625"/>
      <c r="I121" s="625"/>
      <c r="J121" s="625"/>
      <c r="K121" s="625"/>
      <c r="L121" s="625"/>
      <c r="M121" s="625"/>
      <c r="N121" s="625"/>
      <c r="O121" s="625"/>
      <c r="P121" s="625"/>
      <c r="Q121" s="625"/>
      <c r="R121" s="625"/>
      <c r="S121" s="625"/>
      <c r="U121" s="615" t="s">
        <v>936</v>
      </c>
    </row>
    <row r="122" spans="2:35" ht="13" x14ac:dyDescent="0.15">
      <c r="C122" s="700" t="s">
        <v>70</v>
      </c>
      <c r="D122" s="624"/>
      <c r="E122" s="625"/>
      <c r="F122" s="625"/>
      <c r="G122" s="625"/>
      <c r="H122" s="625"/>
      <c r="I122" s="625"/>
      <c r="J122" s="625"/>
      <c r="K122" s="625"/>
      <c r="L122" s="625"/>
      <c r="M122" s="625"/>
      <c r="N122" s="625"/>
      <c r="O122" s="625"/>
      <c r="P122" s="625"/>
      <c r="Q122" s="625"/>
      <c r="R122" s="625"/>
      <c r="S122" s="1026" t="s">
        <v>55</v>
      </c>
    </row>
    <row r="123" spans="2:35" ht="13" x14ac:dyDescent="0.15">
      <c r="C123" s="702" t="s">
        <v>71</v>
      </c>
      <c r="D123" s="624"/>
      <c r="E123" s="625"/>
      <c r="F123" s="625"/>
      <c r="G123" s="625"/>
      <c r="H123" s="625"/>
      <c r="I123" s="625"/>
      <c r="J123" s="625"/>
      <c r="K123" s="625"/>
      <c r="L123" s="625"/>
      <c r="M123" s="625"/>
      <c r="N123" s="625"/>
      <c r="O123" s="625"/>
      <c r="P123" s="625"/>
      <c r="Q123" s="625"/>
      <c r="R123" s="625"/>
    </row>
    <row r="124" spans="2:35" ht="13" x14ac:dyDescent="0.15">
      <c r="C124" s="702" t="s">
        <v>72</v>
      </c>
      <c r="D124" s="624"/>
      <c r="E124" s="625"/>
      <c r="F124" s="625"/>
      <c r="G124" s="625"/>
      <c r="H124" s="625"/>
      <c r="I124" s="625"/>
      <c r="J124" s="625"/>
      <c r="K124" s="625"/>
      <c r="L124" s="625"/>
      <c r="M124" s="625"/>
      <c r="N124" s="625"/>
      <c r="O124" s="625"/>
      <c r="P124" s="625"/>
      <c r="Q124" s="625"/>
      <c r="R124" s="625"/>
      <c r="S124" s="625"/>
    </row>
    <row r="125" spans="2:35" ht="13" x14ac:dyDescent="0.15">
      <c r="C125" s="702" t="s">
        <v>73</v>
      </c>
      <c r="D125" s="624"/>
      <c r="E125" s="625"/>
      <c r="F125" s="625"/>
      <c r="G125" s="625"/>
      <c r="H125" s="625"/>
      <c r="I125" s="625"/>
      <c r="J125" s="625"/>
      <c r="K125" s="625"/>
      <c r="L125" s="625"/>
      <c r="M125" s="625"/>
      <c r="N125" s="625"/>
      <c r="O125" s="625"/>
      <c r="P125" s="625"/>
      <c r="Q125" s="625"/>
      <c r="R125" s="625"/>
      <c r="S125" s="625"/>
    </row>
    <row r="126" spans="2:35" ht="13" x14ac:dyDescent="0.15">
      <c r="C126" s="702" t="s">
        <v>74</v>
      </c>
      <c r="D126" s="624"/>
      <c r="E126" s="625"/>
      <c r="F126" s="625"/>
      <c r="G126" s="625"/>
      <c r="H126" s="625"/>
      <c r="I126" s="625"/>
      <c r="J126" s="625"/>
      <c r="K126" s="625"/>
      <c r="L126" s="625"/>
      <c r="M126" s="625"/>
      <c r="N126" s="625"/>
      <c r="O126" s="625"/>
      <c r="P126" s="625"/>
      <c r="Q126" s="625"/>
      <c r="R126" s="625"/>
      <c r="S126" s="625"/>
    </row>
    <row r="127" spans="2:35" ht="23" customHeight="1" x14ac:dyDescent="0.15">
      <c r="C127" s="624"/>
      <c r="D127" s="624"/>
      <c r="E127" s="625"/>
      <c r="F127" s="625"/>
      <c r="G127" s="625"/>
      <c r="H127" s="625"/>
      <c r="I127" s="625"/>
      <c r="J127" s="625"/>
      <c r="K127" s="625"/>
      <c r="L127" s="625"/>
      <c r="M127" s="625"/>
      <c r="N127" s="625"/>
      <c r="O127" s="625"/>
      <c r="P127" s="625"/>
      <c r="Q127" s="625"/>
      <c r="R127" s="625"/>
      <c r="S127" s="625"/>
    </row>
    <row r="128" spans="2:35" ht="23" customHeight="1" x14ac:dyDescent="0.15">
      <c r="C128" s="624"/>
      <c r="D128" s="624"/>
      <c r="E128" s="625"/>
      <c r="F128" s="625"/>
      <c r="G128" s="625"/>
      <c r="H128" s="625"/>
      <c r="I128" s="625"/>
      <c r="J128" s="625"/>
      <c r="K128" s="625"/>
      <c r="L128" s="625"/>
      <c r="M128" s="625"/>
      <c r="N128" s="625"/>
      <c r="O128" s="625"/>
      <c r="P128" s="625"/>
      <c r="Q128" s="625"/>
      <c r="R128" s="625"/>
      <c r="S128" s="625"/>
    </row>
    <row r="129" spans="3:19" ht="23" customHeight="1" x14ac:dyDescent="0.15">
      <c r="C129" s="624"/>
      <c r="D129" s="624"/>
      <c r="E129" s="625"/>
      <c r="F129" s="625"/>
      <c r="G129" s="625"/>
      <c r="H129" s="625"/>
      <c r="I129" s="625"/>
      <c r="J129" s="625"/>
      <c r="K129" s="625"/>
      <c r="L129" s="625"/>
      <c r="M129" s="625"/>
      <c r="N129" s="625"/>
      <c r="O129" s="625"/>
      <c r="P129" s="625"/>
      <c r="Q129" s="625"/>
      <c r="R129" s="625"/>
      <c r="S129" s="625"/>
    </row>
    <row r="130" spans="3:19" ht="23" customHeight="1" x14ac:dyDescent="0.15">
      <c r="C130" s="624"/>
      <c r="D130" s="624"/>
      <c r="E130" s="625"/>
      <c r="F130" s="625"/>
      <c r="G130" s="625"/>
      <c r="H130" s="625"/>
      <c r="I130" s="625"/>
      <c r="J130" s="625"/>
      <c r="K130" s="625"/>
      <c r="L130" s="625"/>
      <c r="M130" s="625"/>
      <c r="N130" s="625"/>
      <c r="O130" s="625"/>
      <c r="P130" s="625"/>
      <c r="Q130" s="625"/>
      <c r="R130" s="625"/>
      <c r="S130" s="625"/>
    </row>
    <row r="131" spans="3:19" ht="23" customHeight="1" x14ac:dyDescent="0.15">
      <c r="E131" s="625"/>
      <c r="F131" s="625"/>
      <c r="G131" s="625"/>
      <c r="H131" s="625"/>
      <c r="I131" s="625"/>
      <c r="J131" s="625"/>
      <c r="K131" s="625"/>
      <c r="L131" s="625"/>
      <c r="M131" s="625"/>
      <c r="N131" s="625"/>
      <c r="O131" s="625"/>
      <c r="P131" s="625"/>
      <c r="Q131" s="625"/>
      <c r="R131" s="625"/>
      <c r="S131" s="625"/>
    </row>
  </sheetData>
  <sheetProtection sheet="1" insertRows="0"/>
  <mergeCells count="10">
    <mergeCell ref="S6:S7"/>
    <mergeCell ref="D9:S9"/>
    <mergeCell ref="C12:D12"/>
    <mergeCell ref="C120:D120"/>
    <mergeCell ref="R16:S16"/>
    <mergeCell ref="H43:J43"/>
    <mergeCell ref="R48:S48"/>
    <mergeCell ref="H75:J75"/>
    <mergeCell ref="R80:S80"/>
    <mergeCell ref="H107:J107"/>
  </mergeCells>
  <phoneticPr fontId="22" type="noConversion"/>
  <printOptions horizontalCentered="1" verticalCentered="1"/>
  <pageMargins left="0.36000000000000004" right="0.36000000000000004" top="0.6100000000000001" bottom="0.6100000000000001" header="0.5" footer="0.5"/>
  <pageSetup paperSize="9" scale="27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Y47"/>
  <sheetViews>
    <sheetView topLeftCell="A12" zoomScale="125" zoomScaleNormal="125" zoomScalePageLayoutView="125" workbookViewId="0">
      <selection activeCell="F24" sqref="F24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5703125" style="96" customWidth="1"/>
    <col min="4" max="4" width="14.42578125" style="96" customWidth="1"/>
    <col min="5" max="5" width="26.7109375" style="97" customWidth="1"/>
    <col min="6" max="9" width="13.42578125" style="97" customWidth="1"/>
    <col min="10" max="10" width="3.28515625" style="96" customWidth="1"/>
    <col min="11" max="16384" width="10.7109375" style="96"/>
  </cols>
  <sheetData>
    <row r="2" spans="1:25" ht="23" customHeight="1" x14ac:dyDescent="0.15">
      <c r="D2" s="311" t="str">
        <f>_GENERAL!D2</f>
        <v>Área de Presidencia, Hacienda y Modernización</v>
      </c>
    </row>
    <row r="3" spans="1:25" ht="23" customHeight="1" x14ac:dyDescent="0.15">
      <c r="D3" s="311" t="str">
        <f>_GENERAL!D3</f>
        <v>Dirección Insular de Hacienda</v>
      </c>
    </row>
    <row r="4" spans="1:25" ht="23" customHeight="1" thickBot="1" x14ac:dyDescent="0.2">
      <c r="A4" s="96" t="s">
        <v>935</v>
      </c>
    </row>
    <row r="5" spans="1:25" ht="9" customHeight="1" x14ac:dyDescent="0.15">
      <c r="B5" s="98"/>
      <c r="C5" s="99"/>
      <c r="D5" s="99"/>
      <c r="E5" s="100"/>
      <c r="F5" s="100"/>
      <c r="G5" s="100"/>
      <c r="H5" s="100"/>
      <c r="I5" s="100"/>
      <c r="J5" s="101"/>
      <c r="L5" s="406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8"/>
    </row>
    <row r="6" spans="1:25" ht="30" customHeight="1" x14ac:dyDescent="0.2">
      <c r="B6" s="102"/>
      <c r="C6" s="66" t="s">
        <v>0</v>
      </c>
      <c r="D6" s="103"/>
      <c r="E6" s="104"/>
      <c r="F6" s="104"/>
      <c r="G6" s="104"/>
      <c r="H6" s="104"/>
      <c r="I6" s="1362">
        <f>ejercicio</f>
        <v>2020</v>
      </c>
      <c r="J6" s="105"/>
      <c r="L6" s="409"/>
      <c r="M6" s="410" t="s">
        <v>677</v>
      </c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1"/>
      <c r="Y6" s="412"/>
    </row>
    <row r="7" spans="1:25" ht="30" customHeight="1" x14ac:dyDescent="0.2">
      <c r="B7" s="102"/>
      <c r="C7" s="66" t="s">
        <v>1</v>
      </c>
      <c r="D7" s="103"/>
      <c r="E7" s="104"/>
      <c r="F7" s="104"/>
      <c r="G7" s="104"/>
      <c r="H7" s="104"/>
      <c r="I7" s="1362"/>
      <c r="J7" s="105"/>
      <c r="L7" s="409"/>
      <c r="M7" s="411"/>
      <c r="N7" s="411"/>
      <c r="O7" s="411"/>
      <c r="P7" s="411"/>
      <c r="Q7" s="411"/>
      <c r="R7" s="411"/>
      <c r="S7" s="411"/>
      <c r="T7" s="411"/>
      <c r="U7" s="411"/>
      <c r="V7" s="411"/>
      <c r="W7" s="411"/>
      <c r="X7" s="411"/>
      <c r="Y7" s="412"/>
    </row>
    <row r="8" spans="1:25" ht="30" customHeight="1" x14ac:dyDescent="0.15">
      <c r="B8" s="102"/>
      <c r="C8" s="106"/>
      <c r="D8" s="103"/>
      <c r="E8" s="104"/>
      <c r="F8" s="104"/>
      <c r="G8" s="104"/>
      <c r="H8" s="104"/>
      <c r="I8" s="107"/>
      <c r="J8" s="105"/>
      <c r="L8" s="409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1"/>
      <c r="Y8" s="412"/>
    </row>
    <row r="9" spans="1:25" s="189" customFormat="1" ht="30" customHeight="1" x14ac:dyDescent="0.2">
      <c r="B9" s="187"/>
      <c r="C9" s="55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376"/>
      <c r="I9" s="1376"/>
      <c r="J9" s="188"/>
      <c r="L9" s="409"/>
      <c r="M9" s="411"/>
      <c r="N9" s="411"/>
      <c r="O9" s="411"/>
      <c r="P9" s="411"/>
      <c r="Q9" s="411"/>
      <c r="R9" s="411"/>
      <c r="S9" s="411"/>
      <c r="T9" s="411"/>
      <c r="U9" s="411"/>
      <c r="V9" s="411"/>
      <c r="W9" s="411"/>
      <c r="X9" s="411"/>
      <c r="Y9" s="412"/>
    </row>
    <row r="10" spans="1:25" ht="7.25" customHeight="1" x14ac:dyDescent="0.15">
      <c r="B10" s="102"/>
      <c r="C10" s="103"/>
      <c r="D10" s="103"/>
      <c r="E10" s="104"/>
      <c r="F10" s="104"/>
      <c r="G10" s="104"/>
      <c r="H10" s="104"/>
      <c r="I10" s="104"/>
      <c r="J10" s="105"/>
      <c r="L10" s="409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1"/>
      <c r="Y10" s="412"/>
    </row>
    <row r="11" spans="1:25" s="114" customFormat="1" ht="30" customHeight="1" x14ac:dyDescent="0.2">
      <c r="B11" s="110"/>
      <c r="C11" s="111" t="s">
        <v>442</v>
      </c>
      <c r="D11" s="111"/>
      <c r="E11" s="112"/>
      <c r="F11" s="112"/>
      <c r="G11" s="112"/>
      <c r="H11" s="112"/>
      <c r="I11" s="112"/>
      <c r="J11" s="113"/>
      <c r="L11" s="409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  <c r="X11" s="411"/>
      <c r="Y11" s="412"/>
    </row>
    <row r="12" spans="1:25" s="114" customFormat="1" ht="30" customHeight="1" x14ac:dyDescent="0.2">
      <c r="B12" s="110"/>
      <c r="C12" s="1447"/>
      <c r="D12" s="1447"/>
      <c r="E12" s="95"/>
      <c r="F12" s="95"/>
      <c r="G12" s="95"/>
      <c r="H12" s="95"/>
      <c r="I12" s="95"/>
      <c r="J12" s="113"/>
      <c r="L12" s="409"/>
      <c r="M12" s="411"/>
      <c r="N12" s="411"/>
      <c r="O12" s="411"/>
      <c r="P12" s="411"/>
      <c r="Q12" s="411"/>
      <c r="R12" s="411"/>
      <c r="S12" s="411"/>
      <c r="T12" s="411"/>
      <c r="U12" s="411"/>
      <c r="V12" s="411"/>
      <c r="W12" s="411"/>
      <c r="X12" s="411"/>
      <c r="Y12" s="412"/>
    </row>
    <row r="13" spans="1:25" s="114" customFormat="1" ht="16.25" customHeight="1" x14ac:dyDescent="0.2">
      <c r="B13" s="110"/>
      <c r="C13" s="221"/>
      <c r="D13" s="224"/>
      <c r="E13" s="225"/>
      <c r="F13" s="222" t="s">
        <v>444</v>
      </c>
      <c r="G13" s="1490" t="s">
        <v>449</v>
      </c>
      <c r="H13" s="1491"/>
      <c r="I13" s="1492"/>
      <c r="J13" s="113"/>
      <c r="L13" s="409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1"/>
      <c r="Y13" s="412"/>
    </row>
    <row r="14" spans="1:25" s="114" customFormat="1" ht="16.25" customHeight="1" x14ac:dyDescent="0.2">
      <c r="B14" s="110"/>
      <c r="C14" s="223"/>
      <c r="D14" s="226"/>
      <c r="E14" s="227"/>
      <c r="F14" s="205" t="s">
        <v>445</v>
      </c>
      <c r="G14" s="222" t="s">
        <v>446</v>
      </c>
      <c r="H14" s="222" t="s">
        <v>447</v>
      </c>
      <c r="I14" s="222" t="s">
        <v>448</v>
      </c>
      <c r="J14" s="113"/>
      <c r="L14" s="409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2"/>
    </row>
    <row r="15" spans="1:25" s="189" customFormat="1" ht="16.25" customHeight="1" x14ac:dyDescent="0.2">
      <c r="B15" s="187"/>
      <c r="C15" s="1493" t="s">
        <v>443</v>
      </c>
      <c r="D15" s="1494"/>
      <c r="E15" s="1495"/>
      <c r="F15" s="200">
        <f>ejercicio</f>
        <v>2020</v>
      </c>
      <c r="G15" s="200">
        <f>ejercicio+1</f>
        <v>2021</v>
      </c>
      <c r="H15" s="200">
        <f>ejercicio+1</f>
        <v>2021</v>
      </c>
      <c r="I15" s="200">
        <f>ejercicio+1</f>
        <v>2021</v>
      </c>
      <c r="J15" s="188"/>
      <c r="L15" s="409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1"/>
      <c r="Y15" s="412"/>
    </row>
    <row r="16" spans="1:25" s="189" customFormat="1" ht="8" customHeight="1" x14ac:dyDescent="0.2">
      <c r="B16" s="187"/>
      <c r="C16" s="66"/>
      <c r="D16" s="66"/>
      <c r="E16" s="186"/>
      <c r="F16" s="186"/>
      <c r="G16" s="186"/>
      <c r="H16" s="186"/>
      <c r="I16" s="186"/>
      <c r="J16" s="188"/>
      <c r="L16" s="409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2"/>
    </row>
    <row r="17" spans="1:25" s="119" customFormat="1" ht="23" customHeight="1" thickBot="1" x14ac:dyDescent="0.25">
      <c r="A17" s="189"/>
      <c r="B17" s="187"/>
      <c r="C17" s="162" t="s">
        <v>450</v>
      </c>
      <c r="D17" s="163"/>
      <c r="E17" s="230"/>
      <c r="F17" s="523"/>
      <c r="G17" s="524"/>
      <c r="H17" s="525"/>
      <c r="I17" s="566"/>
      <c r="J17" s="117"/>
      <c r="L17" s="409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2"/>
    </row>
    <row r="18" spans="1:25" s="119" customFormat="1" ht="9" customHeight="1" x14ac:dyDescent="0.2">
      <c r="A18" s="189"/>
      <c r="B18" s="187"/>
      <c r="C18" s="31"/>
      <c r="D18" s="31"/>
      <c r="E18" s="31"/>
      <c r="F18" s="233"/>
      <c r="G18" s="234"/>
      <c r="H18" s="235"/>
      <c r="I18" s="236"/>
      <c r="J18" s="117"/>
      <c r="L18" s="409"/>
      <c r="M18" s="411"/>
      <c r="N18" s="411"/>
      <c r="O18" s="411"/>
      <c r="P18" s="411"/>
      <c r="Q18" s="411"/>
      <c r="R18" s="411"/>
      <c r="S18" s="411"/>
      <c r="T18" s="411"/>
      <c r="U18" s="411"/>
      <c r="V18" s="411"/>
      <c r="W18" s="411"/>
      <c r="X18" s="411"/>
      <c r="Y18" s="412"/>
    </row>
    <row r="19" spans="1:25" s="119" customFormat="1" ht="23" customHeight="1" thickBot="1" x14ac:dyDescent="0.25">
      <c r="A19" s="189"/>
      <c r="B19" s="187"/>
      <c r="C19" s="162" t="s">
        <v>283</v>
      </c>
      <c r="D19" s="163"/>
      <c r="E19" s="230"/>
      <c r="F19" s="175">
        <f>SUM(F20:F24)</f>
        <v>0</v>
      </c>
      <c r="G19" s="228">
        <f t="shared" ref="G19:I19" si="0">SUM(G20:G24)</f>
        <v>0</v>
      </c>
      <c r="H19" s="229">
        <f t="shared" si="0"/>
        <v>0</v>
      </c>
      <c r="I19" s="237">
        <f t="shared" si="0"/>
        <v>0</v>
      </c>
      <c r="J19" s="117"/>
      <c r="L19" s="409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1"/>
      <c r="X19" s="411"/>
      <c r="Y19" s="412"/>
    </row>
    <row r="20" spans="1:25" s="119" customFormat="1" ht="23" customHeight="1" x14ac:dyDescent="0.15">
      <c r="B20" s="116"/>
      <c r="C20" s="182" t="s">
        <v>451</v>
      </c>
      <c r="D20" s="183"/>
      <c r="E20" s="185"/>
      <c r="F20" s="513"/>
      <c r="G20" s="526"/>
      <c r="H20" s="494"/>
      <c r="I20" s="567"/>
      <c r="J20" s="117"/>
      <c r="L20" s="409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2"/>
    </row>
    <row r="21" spans="1:25" s="119" customFormat="1" ht="23" customHeight="1" x14ac:dyDescent="0.15">
      <c r="B21" s="116"/>
      <c r="C21" s="182" t="s">
        <v>452</v>
      </c>
      <c r="D21" s="183"/>
      <c r="E21" s="185"/>
      <c r="F21" s="513"/>
      <c r="G21" s="526"/>
      <c r="H21" s="494"/>
      <c r="I21" s="567"/>
      <c r="J21" s="117"/>
      <c r="L21" s="409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2"/>
    </row>
    <row r="22" spans="1:25" s="119" customFormat="1" ht="23" customHeight="1" x14ac:dyDescent="0.15">
      <c r="B22" s="116"/>
      <c r="C22" s="182" t="s">
        <v>453</v>
      </c>
      <c r="D22" s="183"/>
      <c r="E22" s="185"/>
      <c r="F22" s="513"/>
      <c r="G22" s="526"/>
      <c r="H22" s="494"/>
      <c r="I22" s="567"/>
      <c r="J22" s="117"/>
      <c r="L22" s="409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1"/>
      <c r="Y22" s="412"/>
    </row>
    <row r="23" spans="1:25" ht="23" customHeight="1" x14ac:dyDescent="0.15">
      <c r="B23" s="116"/>
      <c r="C23" s="158" t="s">
        <v>454</v>
      </c>
      <c r="D23" s="159"/>
      <c r="E23" s="178"/>
      <c r="F23" s="514"/>
      <c r="G23" s="527"/>
      <c r="H23" s="487"/>
      <c r="I23" s="568"/>
      <c r="J23" s="105"/>
      <c r="L23" s="409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2"/>
    </row>
    <row r="24" spans="1:25" ht="23" customHeight="1" x14ac:dyDescent="0.15">
      <c r="B24" s="116"/>
      <c r="C24" s="160" t="s">
        <v>455</v>
      </c>
      <c r="D24" s="161"/>
      <c r="E24" s="179"/>
      <c r="F24" s="516"/>
      <c r="G24" s="528"/>
      <c r="H24" s="491"/>
      <c r="I24" s="569"/>
      <c r="J24" s="105"/>
      <c r="L24" s="409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2"/>
    </row>
    <row r="25" spans="1:25" ht="8" customHeight="1" x14ac:dyDescent="0.2">
      <c r="B25" s="102"/>
      <c r="C25" s="1496"/>
      <c r="D25" s="1496"/>
      <c r="E25" s="1496"/>
      <c r="F25" s="1496"/>
      <c r="G25" s="1496"/>
      <c r="H25" s="1496"/>
      <c r="I25" s="1496"/>
      <c r="J25" s="105"/>
      <c r="L25" s="409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2"/>
    </row>
    <row r="26" spans="1:25" s="119" customFormat="1" ht="23" customHeight="1" thickBot="1" x14ac:dyDescent="0.25">
      <c r="A26" s="189"/>
      <c r="B26" s="187"/>
      <c r="C26" s="162" t="s">
        <v>456</v>
      </c>
      <c r="D26" s="163"/>
      <c r="E26" s="230"/>
      <c r="F26" s="175">
        <f>+SUM(F27:F28)</f>
        <v>0</v>
      </c>
      <c r="G26" s="228">
        <f>SUM(G27:G28)</f>
        <v>0</v>
      </c>
      <c r="H26" s="229">
        <f>SUM(H27:H28)</f>
        <v>0</v>
      </c>
      <c r="I26" s="237">
        <f>SUM(I27:I28)</f>
        <v>0</v>
      </c>
      <c r="J26" s="117"/>
      <c r="L26" s="409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2"/>
    </row>
    <row r="27" spans="1:25" s="119" customFormat="1" ht="23" customHeight="1" x14ac:dyDescent="0.15">
      <c r="B27" s="116"/>
      <c r="C27" s="182" t="s">
        <v>457</v>
      </c>
      <c r="D27" s="183"/>
      <c r="E27" s="185"/>
      <c r="F27" s="513"/>
      <c r="G27" s="570"/>
      <c r="H27" s="571"/>
      <c r="I27" s="567"/>
      <c r="J27" s="117"/>
      <c r="L27" s="409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2"/>
    </row>
    <row r="28" spans="1:25" ht="23" customHeight="1" x14ac:dyDescent="0.15">
      <c r="B28" s="116"/>
      <c r="C28" s="160" t="s">
        <v>458</v>
      </c>
      <c r="D28" s="161"/>
      <c r="E28" s="179"/>
      <c r="F28" s="516"/>
      <c r="G28" s="572"/>
      <c r="H28" s="573"/>
      <c r="I28" s="574"/>
      <c r="J28" s="105"/>
      <c r="L28" s="409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1"/>
      <c r="Y28" s="412"/>
    </row>
    <row r="29" spans="1:25" ht="8" customHeight="1" x14ac:dyDescent="0.2">
      <c r="B29" s="102"/>
      <c r="C29" s="1496"/>
      <c r="D29" s="1496"/>
      <c r="E29" s="1496"/>
      <c r="F29" s="1496"/>
      <c r="G29" s="1496"/>
      <c r="H29" s="1496"/>
      <c r="I29" s="1496"/>
      <c r="J29" s="105"/>
      <c r="L29" s="409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1"/>
      <c r="X29" s="411"/>
      <c r="Y29" s="412"/>
    </row>
    <row r="30" spans="1:25" ht="23" customHeight="1" thickBot="1" x14ac:dyDescent="0.2">
      <c r="B30" s="116"/>
      <c r="C30" s="162" t="s">
        <v>459</v>
      </c>
      <c r="D30" s="163"/>
      <c r="E30" s="230"/>
      <c r="F30" s="175">
        <f>SUM(F31:F32)</f>
        <v>0</v>
      </c>
      <c r="G30" s="228">
        <f>SUM(G31:G32)</f>
        <v>0</v>
      </c>
      <c r="H30" s="229">
        <f>SUM(H31:H32)</f>
        <v>0</v>
      </c>
      <c r="I30" s="237">
        <f>SUM(I31:I32)</f>
        <v>0</v>
      </c>
      <c r="J30" s="105"/>
      <c r="L30" s="409"/>
      <c r="M30" s="411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2"/>
    </row>
    <row r="31" spans="1:25" ht="23" customHeight="1" x14ac:dyDescent="0.15">
      <c r="B31" s="116"/>
      <c r="C31" s="182" t="s">
        <v>457</v>
      </c>
      <c r="D31" s="183"/>
      <c r="E31" s="185"/>
      <c r="F31" s="513"/>
      <c r="G31" s="575"/>
      <c r="H31" s="576"/>
      <c r="I31" s="577"/>
      <c r="J31" s="105"/>
      <c r="L31" s="409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2"/>
    </row>
    <row r="32" spans="1:25" ht="23" customHeight="1" x14ac:dyDescent="0.15">
      <c r="B32" s="116"/>
      <c r="C32" s="160" t="s">
        <v>458</v>
      </c>
      <c r="D32" s="161"/>
      <c r="E32" s="179"/>
      <c r="F32" s="516"/>
      <c r="G32" s="572"/>
      <c r="H32" s="573"/>
      <c r="I32" s="574"/>
      <c r="J32" s="105"/>
      <c r="L32" s="409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1"/>
      <c r="X32" s="411"/>
      <c r="Y32" s="412"/>
    </row>
    <row r="33" spans="2:25" ht="23" customHeight="1" x14ac:dyDescent="0.15">
      <c r="B33" s="116"/>
      <c r="C33" s="216"/>
      <c r="D33" s="216"/>
      <c r="E33" s="217"/>
      <c r="F33" s="218"/>
      <c r="G33" s="217"/>
      <c r="H33" s="217"/>
      <c r="I33" s="219"/>
      <c r="J33" s="105"/>
      <c r="L33" s="409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1"/>
      <c r="Y33" s="412"/>
    </row>
    <row r="34" spans="2:25" ht="23" customHeight="1" x14ac:dyDescent="0.15">
      <c r="B34" s="116"/>
      <c r="C34" s="171" t="s">
        <v>405</v>
      </c>
      <c r="D34" s="169"/>
      <c r="E34" s="170"/>
      <c r="F34" s="170"/>
      <c r="G34" s="170"/>
      <c r="H34" s="170"/>
      <c r="I34" s="95"/>
      <c r="J34" s="105"/>
      <c r="L34" s="409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1"/>
      <c r="Y34" s="412"/>
    </row>
    <row r="35" spans="2:25" ht="18" x14ac:dyDescent="0.15">
      <c r="B35" s="116"/>
      <c r="C35" s="232" t="s">
        <v>460</v>
      </c>
      <c r="D35" s="169"/>
      <c r="E35" s="170"/>
      <c r="F35" s="170"/>
      <c r="G35" s="170"/>
      <c r="H35" s="170"/>
      <c r="I35" s="95"/>
      <c r="J35" s="105"/>
      <c r="L35" s="409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1"/>
      <c r="X35" s="411"/>
      <c r="Y35" s="412"/>
    </row>
    <row r="36" spans="2:25" ht="23" customHeight="1" thickBot="1" x14ac:dyDescent="0.2">
      <c r="B36" s="120"/>
      <c r="C36" s="1375"/>
      <c r="D36" s="1375"/>
      <c r="E36" s="1375"/>
      <c r="F36" s="1375"/>
      <c r="G36" s="56"/>
      <c r="H36" s="56"/>
      <c r="I36" s="121"/>
      <c r="J36" s="122"/>
      <c r="L36" s="425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27"/>
    </row>
    <row r="37" spans="2:25" ht="23" customHeight="1" x14ac:dyDescent="0.15">
      <c r="C37" s="103"/>
      <c r="D37" s="103"/>
      <c r="E37" s="104"/>
      <c r="F37" s="104"/>
      <c r="G37" s="104"/>
      <c r="H37" s="104"/>
      <c r="I37" s="104"/>
      <c r="K37" s="96" t="s">
        <v>936</v>
      </c>
    </row>
    <row r="38" spans="2:25" ht="13" x14ac:dyDescent="0.15">
      <c r="C38" s="123" t="s">
        <v>70</v>
      </c>
      <c r="D38" s="103"/>
      <c r="E38" s="104"/>
      <c r="F38" s="104"/>
      <c r="G38" s="104"/>
      <c r="H38" s="104"/>
      <c r="I38" s="94" t="s">
        <v>57</v>
      </c>
    </row>
    <row r="39" spans="2:25" ht="13" x14ac:dyDescent="0.15">
      <c r="C39" s="124" t="s">
        <v>71</v>
      </c>
      <c r="D39" s="103"/>
      <c r="E39" s="104"/>
      <c r="F39" s="104"/>
      <c r="G39" s="104"/>
      <c r="H39" s="104"/>
      <c r="I39" s="104"/>
    </row>
    <row r="40" spans="2:25" ht="13" x14ac:dyDescent="0.15">
      <c r="C40" s="124" t="s">
        <v>72</v>
      </c>
      <c r="D40" s="103"/>
      <c r="E40" s="104"/>
      <c r="F40" s="104"/>
      <c r="G40" s="104"/>
      <c r="H40" s="104"/>
      <c r="I40" s="104"/>
    </row>
    <row r="41" spans="2:25" ht="13" x14ac:dyDescent="0.15">
      <c r="C41" s="124" t="s">
        <v>73</v>
      </c>
      <c r="D41" s="103"/>
      <c r="E41" s="104"/>
      <c r="F41" s="104"/>
      <c r="G41" s="104"/>
      <c r="H41" s="104"/>
      <c r="I41" s="104"/>
    </row>
    <row r="42" spans="2:25" ht="13" x14ac:dyDescent="0.15">
      <c r="C42" s="124" t="s">
        <v>74</v>
      </c>
      <c r="D42" s="103"/>
      <c r="E42" s="104"/>
      <c r="F42" s="104"/>
      <c r="G42" s="104"/>
      <c r="H42" s="104"/>
      <c r="I42" s="104"/>
    </row>
    <row r="43" spans="2:25" ht="23" customHeight="1" x14ac:dyDescent="0.15">
      <c r="C43" s="103"/>
      <c r="D43" s="103"/>
      <c r="E43" s="104"/>
      <c r="F43" s="104"/>
      <c r="G43" s="104"/>
      <c r="H43" s="104"/>
      <c r="I43" s="104"/>
    </row>
    <row r="44" spans="2:25" ht="23" customHeight="1" x14ac:dyDescent="0.15">
      <c r="C44" s="103"/>
      <c r="D44" s="103"/>
      <c r="E44" s="104"/>
      <c r="F44" s="104"/>
      <c r="G44" s="104"/>
      <c r="H44" s="104"/>
      <c r="I44" s="104"/>
    </row>
    <row r="45" spans="2:25" ht="23" customHeight="1" x14ac:dyDescent="0.15">
      <c r="C45" s="103"/>
      <c r="D45" s="103"/>
      <c r="E45" s="104"/>
      <c r="F45" s="104"/>
      <c r="G45" s="104"/>
      <c r="H45" s="104"/>
      <c r="I45" s="104"/>
    </row>
    <row r="46" spans="2:25" ht="23" customHeight="1" x14ac:dyDescent="0.15">
      <c r="C46" s="103"/>
      <c r="D46" s="103"/>
      <c r="E46" s="104"/>
      <c r="F46" s="104"/>
      <c r="G46" s="104"/>
      <c r="H46" s="104"/>
      <c r="I46" s="104"/>
    </row>
    <row r="47" spans="2:25" ht="23" customHeight="1" x14ac:dyDescent="0.15">
      <c r="F47" s="104"/>
      <c r="G47" s="104"/>
      <c r="H47" s="104"/>
      <c r="I47" s="104"/>
    </row>
  </sheetData>
  <sheetProtection sheet="1" objects="1" scenarios="1"/>
  <mergeCells count="8">
    <mergeCell ref="C36:F36"/>
    <mergeCell ref="G13:I13"/>
    <mergeCell ref="C15:E15"/>
    <mergeCell ref="C29:I29"/>
    <mergeCell ref="I6:I7"/>
    <mergeCell ref="D9:I9"/>
    <mergeCell ref="C12:D12"/>
    <mergeCell ref="C25:I25"/>
  </mergeCells>
  <phoneticPr fontId="22" type="noConversion"/>
  <printOptions horizontalCentered="1" verticalCentered="1"/>
  <pageMargins left="0.36000000000000004" right="0.36000000000000004" top="0.6100000000000001" bottom="0.6100000000000001" header="0.5" footer="0.5"/>
  <pageSetup paperSize="9" scale="67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D35"/>
  <sheetViews>
    <sheetView topLeftCell="C1" zoomScale="125" zoomScaleNormal="125" zoomScalePageLayoutView="125" workbookViewId="0">
      <selection activeCell="I29" sqref="I29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5703125" style="96" customWidth="1"/>
    <col min="4" max="4" width="33.42578125" style="96" customWidth="1"/>
    <col min="5" max="14" width="13.42578125" style="97" customWidth="1"/>
    <col min="15" max="15" width="3.28515625" style="96" customWidth="1"/>
    <col min="16" max="16384" width="10.7109375" style="96"/>
  </cols>
  <sheetData>
    <row r="2" spans="1:30" ht="23" customHeight="1" x14ac:dyDescent="0.15">
      <c r="D2" s="311" t="str">
        <f>_GENERAL!D2</f>
        <v>Área de Presidencia, Hacienda y Modernización</v>
      </c>
    </row>
    <row r="3" spans="1:30" ht="23" customHeight="1" x14ac:dyDescent="0.15">
      <c r="D3" s="311" t="str">
        <f>_GENERAL!D3</f>
        <v>Dirección Insular de Hacienda</v>
      </c>
    </row>
    <row r="4" spans="1:30" ht="23" customHeight="1" thickBot="1" x14ac:dyDescent="0.2">
      <c r="A4" s="96" t="s">
        <v>935</v>
      </c>
    </row>
    <row r="5" spans="1:30" ht="9" customHeight="1" x14ac:dyDescent="0.15">
      <c r="B5" s="98"/>
      <c r="C5" s="99"/>
      <c r="D5" s="99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/>
      <c r="Q5" s="431"/>
      <c r="R5" s="432"/>
      <c r="S5" s="432"/>
      <c r="T5" s="432"/>
      <c r="U5" s="432"/>
      <c r="V5" s="432"/>
      <c r="W5" s="432"/>
      <c r="X5" s="432"/>
      <c r="Y5" s="432"/>
      <c r="Z5" s="432"/>
      <c r="AA5" s="432"/>
      <c r="AB5" s="432"/>
      <c r="AC5" s="432"/>
      <c r="AD5" s="433"/>
    </row>
    <row r="6" spans="1:30" ht="30" customHeight="1" x14ac:dyDescent="0.2">
      <c r="B6" s="102"/>
      <c r="C6" s="66" t="s">
        <v>0</v>
      </c>
      <c r="D6" s="103"/>
      <c r="E6" s="104"/>
      <c r="F6" s="104"/>
      <c r="G6" s="104"/>
      <c r="H6" s="104"/>
      <c r="I6" s="104"/>
      <c r="J6" s="104"/>
      <c r="K6" s="104"/>
      <c r="L6" s="104"/>
      <c r="M6" s="104"/>
      <c r="N6" s="1362">
        <f>ejercicio</f>
        <v>2020</v>
      </c>
      <c r="O6" s="105"/>
      <c r="Q6" s="434"/>
      <c r="R6" s="435" t="s">
        <v>677</v>
      </c>
      <c r="S6" s="435"/>
      <c r="T6" s="435"/>
      <c r="U6" s="435"/>
      <c r="V6" s="436"/>
      <c r="W6" s="436"/>
      <c r="X6" s="436"/>
      <c r="Y6" s="436"/>
      <c r="Z6" s="436"/>
      <c r="AA6" s="436"/>
      <c r="AB6" s="436"/>
      <c r="AC6" s="436"/>
      <c r="AD6" s="437"/>
    </row>
    <row r="7" spans="1:30" ht="30" customHeight="1" x14ac:dyDescent="0.2">
      <c r="B7" s="102"/>
      <c r="C7" s="66" t="s">
        <v>1</v>
      </c>
      <c r="D7" s="103"/>
      <c r="E7" s="104"/>
      <c r="F7" s="104"/>
      <c r="G7" s="104"/>
      <c r="H7" s="104"/>
      <c r="I7" s="104"/>
      <c r="J7" s="104"/>
      <c r="K7" s="104"/>
      <c r="L7" s="104"/>
      <c r="M7" s="104"/>
      <c r="N7" s="1362"/>
      <c r="O7" s="105"/>
      <c r="Q7" s="434"/>
      <c r="R7" s="436"/>
      <c r="S7" s="436"/>
      <c r="T7" s="436"/>
      <c r="U7" s="436"/>
      <c r="V7" s="436"/>
      <c r="W7" s="436"/>
      <c r="X7" s="436"/>
      <c r="Y7" s="436"/>
      <c r="Z7" s="436"/>
      <c r="AA7" s="436"/>
      <c r="AB7" s="436"/>
      <c r="AC7" s="436"/>
      <c r="AD7" s="437"/>
    </row>
    <row r="8" spans="1:30" ht="30" customHeight="1" x14ac:dyDescent="0.15">
      <c r="B8" s="102"/>
      <c r="C8" s="106"/>
      <c r="D8" s="103"/>
      <c r="E8" s="104"/>
      <c r="F8" s="104"/>
      <c r="G8" s="104"/>
      <c r="H8" s="104"/>
      <c r="I8" s="104"/>
      <c r="J8" s="104"/>
      <c r="K8" s="104"/>
      <c r="L8" s="104"/>
      <c r="M8" s="104"/>
      <c r="N8" s="107"/>
      <c r="O8" s="105"/>
      <c r="Q8" s="434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7"/>
    </row>
    <row r="9" spans="1:30" s="189" customFormat="1" ht="30" customHeight="1" x14ac:dyDescent="0.2">
      <c r="B9" s="187"/>
      <c r="C9" s="55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376"/>
      <c r="I9" s="1376"/>
      <c r="J9" s="1376"/>
      <c r="K9" s="1376"/>
      <c r="L9" s="1376"/>
      <c r="M9" s="1376"/>
      <c r="N9" s="1376"/>
      <c r="O9" s="188"/>
      <c r="Q9" s="434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7"/>
    </row>
    <row r="10" spans="1:30" ht="7.25" customHeight="1" x14ac:dyDescent="0.15">
      <c r="B10" s="102"/>
      <c r="C10" s="103"/>
      <c r="D10" s="103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5"/>
      <c r="Q10" s="434"/>
      <c r="R10" s="436"/>
      <c r="S10" s="436"/>
      <c r="T10" s="436"/>
      <c r="U10" s="436"/>
      <c r="V10" s="436"/>
      <c r="W10" s="436"/>
      <c r="X10" s="436"/>
      <c r="Y10" s="436"/>
      <c r="Z10" s="436"/>
      <c r="AA10" s="436"/>
      <c r="AB10" s="436"/>
      <c r="AC10" s="436"/>
      <c r="AD10" s="437"/>
    </row>
    <row r="11" spans="1:30" s="114" customFormat="1" ht="30" customHeight="1" x14ac:dyDescent="0.2">
      <c r="B11" s="110"/>
      <c r="C11" s="111" t="s">
        <v>462</v>
      </c>
      <c r="D11" s="111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3"/>
      <c r="Q11" s="434"/>
      <c r="R11" s="436"/>
      <c r="S11" s="436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7"/>
    </row>
    <row r="12" spans="1:30" s="114" customFormat="1" ht="30" customHeight="1" x14ac:dyDescent="0.2">
      <c r="B12" s="110"/>
      <c r="C12" s="1447"/>
      <c r="D12" s="1447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113"/>
      <c r="Q12" s="434"/>
      <c r="R12" s="436"/>
      <c r="S12" s="436"/>
      <c r="T12" s="436"/>
      <c r="U12" s="436"/>
      <c r="V12" s="436"/>
      <c r="W12" s="436"/>
      <c r="X12" s="436"/>
      <c r="Y12" s="436"/>
      <c r="Z12" s="436"/>
      <c r="AA12" s="436"/>
      <c r="AB12" s="436"/>
      <c r="AC12" s="436"/>
      <c r="AD12" s="437"/>
    </row>
    <row r="13" spans="1:30" s="114" customFormat="1" ht="19.25" customHeight="1" x14ac:dyDescent="0.2">
      <c r="B13" s="110"/>
      <c r="C13" s="221"/>
      <c r="D13" s="224"/>
      <c r="E13" s="1497" t="s">
        <v>461</v>
      </c>
      <c r="F13" s="1498"/>
      <c r="G13" s="1498"/>
      <c r="H13" s="1498"/>
      <c r="I13" s="1498"/>
      <c r="J13" s="1498"/>
      <c r="K13" s="1498"/>
      <c r="L13" s="1498"/>
      <c r="M13" s="1498"/>
      <c r="N13" s="1499"/>
      <c r="O13" s="113"/>
      <c r="Q13" s="434"/>
      <c r="R13" s="436"/>
      <c r="S13" s="436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7"/>
    </row>
    <row r="14" spans="1:30" s="189" customFormat="1" ht="19.25" customHeight="1" x14ac:dyDescent="0.2">
      <c r="B14" s="187"/>
      <c r="C14" s="1493" t="s">
        <v>443</v>
      </c>
      <c r="D14" s="1494"/>
      <c r="E14" s="239">
        <f>ejercicio+1</f>
        <v>2021</v>
      </c>
      <c r="F14" s="240">
        <f>ejercicio+2</f>
        <v>2022</v>
      </c>
      <c r="G14" s="240">
        <f>ejercicio+3</f>
        <v>2023</v>
      </c>
      <c r="H14" s="240">
        <f>ejercicio+4</f>
        <v>2024</v>
      </c>
      <c r="I14" s="240">
        <f>ejercicio+5</f>
        <v>2025</v>
      </c>
      <c r="J14" s="240">
        <f>ejercicio+6</f>
        <v>2026</v>
      </c>
      <c r="K14" s="240">
        <f>ejercicio+7</f>
        <v>2027</v>
      </c>
      <c r="L14" s="240">
        <f>ejercicio+8</f>
        <v>2028</v>
      </c>
      <c r="M14" s="240">
        <f>ejercicio+9</f>
        <v>2029</v>
      </c>
      <c r="N14" s="241">
        <f>ejercicio+10</f>
        <v>2030</v>
      </c>
      <c r="O14" s="188"/>
      <c r="Q14" s="434"/>
      <c r="R14" s="436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7"/>
    </row>
    <row r="15" spans="1:30" s="119" customFormat="1" ht="23" customHeight="1" x14ac:dyDescent="0.15">
      <c r="B15" s="116"/>
      <c r="C15" s="182" t="s">
        <v>451</v>
      </c>
      <c r="D15" s="183"/>
      <c r="E15" s="482"/>
      <c r="F15" s="483"/>
      <c r="G15" s="483"/>
      <c r="H15" s="483"/>
      <c r="I15" s="483"/>
      <c r="J15" s="483"/>
      <c r="K15" s="483"/>
      <c r="L15" s="483"/>
      <c r="M15" s="483"/>
      <c r="N15" s="848"/>
      <c r="O15" s="117"/>
      <c r="Q15" s="434"/>
      <c r="R15" s="436"/>
      <c r="S15" s="436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437"/>
    </row>
    <row r="16" spans="1:30" s="119" customFormat="1" ht="23" customHeight="1" x14ac:dyDescent="0.15">
      <c r="B16" s="116"/>
      <c r="C16" s="182" t="s">
        <v>452</v>
      </c>
      <c r="D16" s="183"/>
      <c r="E16" s="493"/>
      <c r="F16" s="494"/>
      <c r="G16" s="494"/>
      <c r="H16" s="494"/>
      <c r="I16" s="494"/>
      <c r="J16" s="494"/>
      <c r="K16" s="494"/>
      <c r="L16" s="494"/>
      <c r="M16" s="494"/>
      <c r="N16" s="567"/>
      <c r="O16" s="117"/>
      <c r="Q16" s="434"/>
      <c r="R16" s="436"/>
      <c r="S16" s="436"/>
      <c r="T16" s="436"/>
      <c r="U16" s="436"/>
      <c r="V16" s="436"/>
      <c r="W16" s="436"/>
      <c r="X16" s="436"/>
      <c r="Y16" s="436"/>
      <c r="Z16" s="436"/>
      <c r="AA16" s="436"/>
      <c r="AB16" s="436"/>
      <c r="AC16" s="436"/>
      <c r="AD16" s="437"/>
    </row>
    <row r="17" spans="1:30" s="119" customFormat="1" ht="23" customHeight="1" x14ac:dyDescent="0.15">
      <c r="B17" s="116"/>
      <c r="C17" s="182" t="s">
        <v>453</v>
      </c>
      <c r="D17" s="183"/>
      <c r="E17" s="493"/>
      <c r="F17" s="494"/>
      <c r="G17" s="494"/>
      <c r="H17" s="494"/>
      <c r="I17" s="494"/>
      <c r="J17" s="494"/>
      <c r="K17" s="494"/>
      <c r="L17" s="494"/>
      <c r="M17" s="494"/>
      <c r="N17" s="567"/>
      <c r="O17" s="117"/>
      <c r="Q17" s="434"/>
      <c r="R17" s="436"/>
      <c r="S17" s="436"/>
      <c r="T17" s="436"/>
      <c r="U17" s="436"/>
      <c r="V17" s="436"/>
      <c r="W17" s="436"/>
      <c r="X17" s="436"/>
      <c r="Y17" s="436"/>
      <c r="Z17" s="436"/>
      <c r="AA17" s="436"/>
      <c r="AB17" s="436"/>
      <c r="AC17" s="436"/>
      <c r="AD17" s="437"/>
    </row>
    <row r="18" spans="1:30" ht="23" customHeight="1" x14ac:dyDescent="0.15">
      <c r="B18" s="116"/>
      <c r="C18" s="158" t="s">
        <v>454</v>
      </c>
      <c r="D18" s="159"/>
      <c r="E18" s="486"/>
      <c r="F18" s="487"/>
      <c r="G18" s="487"/>
      <c r="H18" s="487"/>
      <c r="I18" s="487"/>
      <c r="J18" s="487"/>
      <c r="K18" s="487"/>
      <c r="L18" s="487"/>
      <c r="M18" s="487"/>
      <c r="N18" s="568"/>
      <c r="O18" s="105"/>
      <c r="Q18" s="434"/>
      <c r="R18" s="436"/>
      <c r="S18" s="436"/>
      <c r="T18" s="436"/>
      <c r="U18" s="436"/>
      <c r="V18" s="436"/>
      <c r="W18" s="436"/>
      <c r="X18" s="436"/>
      <c r="Y18" s="436"/>
      <c r="Z18" s="436"/>
      <c r="AA18" s="436"/>
      <c r="AB18" s="436"/>
      <c r="AC18" s="436"/>
      <c r="AD18" s="437"/>
    </row>
    <row r="19" spans="1:30" ht="23" customHeight="1" x14ac:dyDescent="0.15">
      <c r="B19" s="116"/>
      <c r="C19" s="160" t="s">
        <v>455</v>
      </c>
      <c r="D19" s="161"/>
      <c r="E19" s="490"/>
      <c r="F19" s="491"/>
      <c r="G19" s="491"/>
      <c r="H19" s="491"/>
      <c r="I19" s="491"/>
      <c r="J19" s="491"/>
      <c r="K19" s="491"/>
      <c r="L19" s="491"/>
      <c r="M19" s="491"/>
      <c r="N19" s="569"/>
      <c r="O19" s="105"/>
      <c r="Q19" s="434"/>
      <c r="R19" s="436"/>
      <c r="S19" s="436"/>
      <c r="T19" s="436"/>
      <c r="U19" s="436"/>
      <c r="V19" s="436"/>
      <c r="W19" s="436"/>
      <c r="X19" s="436"/>
      <c r="Y19" s="436"/>
      <c r="Z19" s="436"/>
      <c r="AA19" s="436"/>
      <c r="AB19" s="436"/>
      <c r="AC19" s="436"/>
      <c r="AD19" s="437"/>
    </row>
    <row r="20" spans="1:30" s="119" customFormat="1" ht="23" customHeight="1" thickBot="1" x14ac:dyDescent="0.25">
      <c r="A20" s="189"/>
      <c r="B20" s="187"/>
      <c r="C20" s="162" t="s">
        <v>463</v>
      </c>
      <c r="D20" s="163"/>
      <c r="E20" s="238">
        <f>SUM(E15:E19)</f>
        <v>0</v>
      </c>
      <c r="F20" s="229">
        <f t="shared" ref="F20:N20" si="0">SUM(F15:F19)</f>
        <v>0</v>
      </c>
      <c r="G20" s="229">
        <f t="shared" si="0"/>
        <v>0</v>
      </c>
      <c r="H20" s="229">
        <f t="shared" si="0"/>
        <v>0</v>
      </c>
      <c r="I20" s="229">
        <f t="shared" si="0"/>
        <v>0</v>
      </c>
      <c r="J20" s="229">
        <f t="shared" si="0"/>
        <v>0</v>
      </c>
      <c r="K20" s="229">
        <f t="shared" si="0"/>
        <v>0</v>
      </c>
      <c r="L20" s="229">
        <f t="shared" si="0"/>
        <v>0</v>
      </c>
      <c r="M20" s="229">
        <f t="shared" si="0"/>
        <v>0</v>
      </c>
      <c r="N20" s="237">
        <f t="shared" si="0"/>
        <v>0</v>
      </c>
      <c r="O20" s="117"/>
      <c r="Q20" s="434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7"/>
    </row>
    <row r="21" spans="1:30" ht="23" customHeight="1" x14ac:dyDescent="0.15">
      <c r="B21" s="116"/>
      <c r="C21" s="216"/>
      <c r="D21" s="216"/>
      <c r="E21" s="217"/>
      <c r="F21" s="217"/>
      <c r="G21" s="217"/>
      <c r="H21" s="217"/>
      <c r="I21" s="217"/>
      <c r="J21" s="217"/>
      <c r="K21" s="217"/>
      <c r="L21" s="217"/>
      <c r="M21" s="217"/>
      <c r="N21" s="219"/>
      <c r="O21" s="105"/>
      <c r="Q21" s="434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7"/>
    </row>
    <row r="22" spans="1:30" ht="23" customHeight="1" x14ac:dyDescent="0.15">
      <c r="B22" s="116"/>
      <c r="C22" s="171" t="s">
        <v>808</v>
      </c>
      <c r="D22" s="169"/>
      <c r="E22" s="170"/>
      <c r="F22" s="170"/>
      <c r="G22" s="170"/>
      <c r="H22" s="170"/>
      <c r="I22" s="170"/>
      <c r="J22" s="170"/>
      <c r="K22" s="170"/>
      <c r="L22" s="170"/>
      <c r="M22" s="170"/>
      <c r="N22" s="95"/>
      <c r="O22" s="105"/>
      <c r="Q22" s="434"/>
      <c r="R22" s="436"/>
      <c r="S22" s="436"/>
      <c r="T22" s="436"/>
      <c r="U22" s="436"/>
      <c r="V22" s="436"/>
      <c r="W22" s="436"/>
      <c r="X22" s="436"/>
      <c r="Y22" s="436"/>
      <c r="Z22" s="436"/>
      <c r="AA22" s="436"/>
      <c r="AB22" s="436"/>
      <c r="AC22" s="436"/>
      <c r="AD22" s="437"/>
    </row>
    <row r="23" spans="1:30" ht="18" x14ac:dyDescent="0.15">
      <c r="B23" s="116"/>
      <c r="C23" s="232" t="s">
        <v>460</v>
      </c>
      <c r="D23" s="169"/>
      <c r="E23" s="170"/>
      <c r="F23" s="170"/>
      <c r="G23" s="170"/>
      <c r="H23" s="170"/>
      <c r="I23" s="170"/>
      <c r="J23" s="170"/>
      <c r="K23" s="170"/>
      <c r="L23" s="170"/>
      <c r="M23" s="170"/>
      <c r="N23" s="95"/>
      <c r="O23" s="105"/>
      <c r="Q23" s="434"/>
      <c r="R23" s="436"/>
      <c r="S23" s="436"/>
      <c r="T23" s="436"/>
      <c r="U23" s="436"/>
      <c r="V23" s="436"/>
      <c r="W23" s="436"/>
      <c r="X23" s="436"/>
      <c r="Y23" s="436"/>
      <c r="Z23" s="436"/>
      <c r="AA23" s="436"/>
      <c r="AB23" s="436"/>
      <c r="AC23" s="436"/>
      <c r="AD23" s="437"/>
    </row>
    <row r="24" spans="1:30" ht="23" customHeight="1" thickBot="1" x14ac:dyDescent="0.2">
      <c r="B24" s="120"/>
      <c r="C24" s="1375"/>
      <c r="D24" s="1375"/>
      <c r="E24" s="56"/>
      <c r="F24" s="56"/>
      <c r="G24" s="56"/>
      <c r="H24" s="56"/>
      <c r="I24" s="56"/>
      <c r="J24" s="56"/>
      <c r="K24" s="56"/>
      <c r="L24" s="56"/>
      <c r="M24" s="56"/>
      <c r="N24" s="121"/>
      <c r="O24" s="122"/>
      <c r="Q24" s="428"/>
      <c r="R24" s="429"/>
      <c r="S24" s="429"/>
      <c r="T24" s="429"/>
      <c r="U24" s="429"/>
      <c r="V24" s="429"/>
      <c r="W24" s="429"/>
      <c r="X24" s="429"/>
      <c r="Y24" s="429"/>
      <c r="Z24" s="429"/>
      <c r="AA24" s="429"/>
      <c r="AB24" s="429"/>
      <c r="AC24" s="429"/>
      <c r="AD24" s="430"/>
    </row>
    <row r="25" spans="1:30" ht="23" customHeight="1" x14ac:dyDescent="0.15">
      <c r="C25" s="103"/>
      <c r="D25" s="103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P25" s="96" t="s">
        <v>936</v>
      </c>
    </row>
    <row r="26" spans="1:30" ht="13" x14ac:dyDescent="0.15">
      <c r="C26" s="123" t="s">
        <v>70</v>
      </c>
      <c r="D26" s="103"/>
      <c r="E26" s="104"/>
      <c r="F26" s="104"/>
      <c r="G26" s="104"/>
      <c r="H26" s="104"/>
      <c r="I26" s="104"/>
      <c r="J26" s="104"/>
      <c r="K26" s="104"/>
      <c r="L26" s="104"/>
      <c r="M26" s="104"/>
      <c r="N26" s="94" t="s">
        <v>59</v>
      </c>
    </row>
    <row r="27" spans="1:30" ht="13" x14ac:dyDescent="0.15">
      <c r="C27" s="124" t="s">
        <v>71</v>
      </c>
      <c r="D27" s="103"/>
      <c r="E27" s="104"/>
      <c r="F27" s="104"/>
      <c r="G27" s="104"/>
      <c r="H27" s="104"/>
      <c r="I27" s="104"/>
      <c r="J27" s="104"/>
      <c r="K27" s="104"/>
      <c r="L27" s="104"/>
      <c r="M27" s="104"/>
      <c r="N27" s="104"/>
    </row>
    <row r="28" spans="1:30" ht="13" x14ac:dyDescent="0.15">
      <c r="C28" s="124" t="s">
        <v>72</v>
      </c>
      <c r="D28" s="103"/>
      <c r="E28" s="104"/>
      <c r="F28" s="104"/>
      <c r="G28" s="104"/>
      <c r="H28" s="104"/>
      <c r="I28" s="104"/>
      <c r="J28" s="104"/>
      <c r="K28" s="104"/>
      <c r="L28" s="104"/>
      <c r="M28" s="104"/>
      <c r="N28" s="104"/>
    </row>
    <row r="29" spans="1:30" ht="13" x14ac:dyDescent="0.15">
      <c r="C29" s="124" t="s">
        <v>73</v>
      </c>
      <c r="D29" s="103"/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  <row r="30" spans="1:30" ht="13" x14ac:dyDescent="0.15">
      <c r="C30" s="124" t="s">
        <v>74</v>
      </c>
      <c r="D30" s="103"/>
      <c r="E30" s="104"/>
      <c r="F30" s="104"/>
      <c r="G30" s="104"/>
      <c r="H30" s="104"/>
      <c r="I30" s="104"/>
      <c r="J30" s="104"/>
      <c r="K30" s="104"/>
      <c r="L30" s="104"/>
      <c r="M30" s="104"/>
      <c r="N30" s="104"/>
    </row>
    <row r="31" spans="1:30" ht="23" customHeight="1" x14ac:dyDescent="0.15">
      <c r="C31" s="103"/>
      <c r="D31" s="103"/>
      <c r="E31" s="104"/>
      <c r="F31" s="104"/>
      <c r="G31" s="104"/>
      <c r="H31" s="104"/>
      <c r="I31" s="104"/>
      <c r="J31" s="104"/>
      <c r="K31" s="104"/>
      <c r="L31" s="104"/>
      <c r="M31" s="104"/>
      <c r="N31" s="104"/>
    </row>
    <row r="32" spans="1:30" ht="23" customHeight="1" x14ac:dyDescent="0.15">
      <c r="C32" s="103"/>
      <c r="D32" s="103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3:14" ht="23" customHeight="1" x14ac:dyDescent="0.15">
      <c r="C33" s="103"/>
      <c r="D33" s="103"/>
      <c r="E33" s="104"/>
      <c r="F33" s="104"/>
      <c r="G33" s="104"/>
      <c r="H33" s="104"/>
      <c r="I33" s="104"/>
      <c r="J33" s="104"/>
      <c r="K33" s="104"/>
      <c r="L33" s="104"/>
      <c r="M33" s="104"/>
      <c r="N33" s="104"/>
    </row>
    <row r="34" spans="3:14" ht="23" customHeight="1" x14ac:dyDescent="0.15">
      <c r="C34" s="103"/>
      <c r="D34" s="103"/>
      <c r="E34" s="104"/>
      <c r="F34" s="104"/>
      <c r="G34" s="104"/>
      <c r="H34" s="104"/>
      <c r="I34" s="104"/>
      <c r="J34" s="104"/>
      <c r="K34" s="104"/>
      <c r="L34" s="104"/>
      <c r="M34" s="104"/>
      <c r="N34" s="104"/>
    </row>
    <row r="35" spans="3:14" ht="23" customHeight="1" x14ac:dyDescent="0.15">
      <c r="E35" s="104"/>
      <c r="F35" s="104"/>
      <c r="G35" s="104"/>
      <c r="H35" s="104"/>
      <c r="I35" s="104"/>
      <c r="J35" s="104"/>
      <c r="K35" s="104"/>
      <c r="L35" s="104"/>
      <c r="M35" s="104"/>
      <c r="N35" s="104"/>
    </row>
  </sheetData>
  <sheetProtection sheet="1" objects="1" scenarios="1"/>
  <mergeCells count="6">
    <mergeCell ref="C24:D24"/>
    <mergeCell ref="N6:N7"/>
    <mergeCell ref="D9:N9"/>
    <mergeCell ref="C12:D12"/>
    <mergeCell ref="E13:N13"/>
    <mergeCell ref="C14:D14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4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Z76"/>
  <sheetViews>
    <sheetView topLeftCell="A24" workbookViewId="0">
      <selection activeCell="F31" sqref="F31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5.28515625" style="96" customWidth="1"/>
    <col min="4" max="4" width="18.7109375" style="96" customWidth="1"/>
    <col min="5" max="5" width="13.28515625" style="96" customWidth="1"/>
    <col min="6" max="10" width="18.7109375" style="97" customWidth="1"/>
    <col min="11" max="11" width="3.28515625" style="96" customWidth="1"/>
    <col min="12" max="16384" width="10.7109375" style="96"/>
  </cols>
  <sheetData>
    <row r="2" spans="1:26" ht="23" customHeight="1" x14ac:dyDescent="0.15">
      <c r="E2" s="311" t="str">
        <f>_GENERAL!D2</f>
        <v>Área de Presidencia, Hacienda y Modernización</v>
      </c>
    </row>
    <row r="3" spans="1:26" ht="23" customHeight="1" x14ac:dyDescent="0.15">
      <c r="E3" s="311" t="str">
        <f>_GENERAL!D3</f>
        <v>Dirección Insular de Hacienda</v>
      </c>
    </row>
    <row r="4" spans="1:26" ht="23" customHeight="1" thickBot="1" x14ac:dyDescent="0.2">
      <c r="A4" s="96" t="s">
        <v>935</v>
      </c>
    </row>
    <row r="5" spans="1:26" ht="9" customHeight="1" x14ac:dyDescent="0.15">
      <c r="B5" s="98"/>
      <c r="C5" s="99"/>
      <c r="D5" s="99"/>
      <c r="E5" s="99"/>
      <c r="F5" s="100"/>
      <c r="G5" s="100"/>
      <c r="H5" s="100"/>
      <c r="I5" s="100"/>
      <c r="J5" s="100"/>
      <c r="K5" s="101"/>
      <c r="M5" s="431"/>
      <c r="N5" s="432"/>
      <c r="O5" s="432"/>
      <c r="P5" s="432"/>
      <c r="Q5" s="432"/>
      <c r="R5" s="432"/>
      <c r="S5" s="432"/>
      <c r="T5" s="432"/>
      <c r="U5" s="432"/>
      <c r="V5" s="432"/>
      <c r="W5" s="432"/>
      <c r="X5" s="432"/>
      <c r="Y5" s="432"/>
      <c r="Z5" s="433"/>
    </row>
    <row r="6" spans="1:26" ht="30" customHeight="1" x14ac:dyDescent="0.2">
      <c r="B6" s="102"/>
      <c r="C6" s="66" t="s">
        <v>0</v>
      </c>
      <c r="D6" s="103"/>
      <c r="E6" s="104"/>
      <c r="F6" s="104"/>
      <c r="G6" s="104"/>
      <c r="H6" s="104"/>
      <c r="I6" s="104"/>
      <c r="J6" s="1362">
        <f>ejercicio</f>
        <v>2020</v>
      </c>
      <c r="K6" s="105"/>
      <c r="M6" s="434"/>
      <c r="N6" s="435" t="s">
        <v>677</v>
      </c>
      <c r="O6" s="435"/>
      <c r="P6" s="435"/>
      <c r="Q6" s="435"/>
      <c r="R6" s="436"/>
      <c r="S6" s="436"/>
      <c r="T6" s="436"/>
      <c r="U6" s="436"/>
      <c r="V6" s="436"/>
      <c r="W6" s="436"/>
      <c r="X6" s="436"/>
      <c r="Y6" s="436"/>
      <c r="Z6" s="437"/>
    </row>
    <row r="7" spans="1:26" ht="30" customHeight="1" x14ac:dyDescent="0.2">
      <c r="B7" s="102"/>
      <c r="C7" s="66" t="s">
        <v>1</v>
      </c>
      <c r="D7" s="103"/>
      <c r="E7" s="104"/>
      <c r="F7" s="104"/>
      <c r="G7" s="104"/>
      <c r="H7" s="104"/>
      <c r="I7" s="104"/>
      <c r="J7" s="1362"/>
      <c r="K7" s="105"/>
      <c r="M7" s="434"/>
      <c r="N7" s="436"/>
      <c r="O7" s="436"/>
      <c r="P7" s="436"/>
      <c r="Q7" s="436"/>
      <c r="R7" s="436"/>
      <c r="S7" s="436"/>
      <c r="T7" s="436"/>
      <c r="U7" s="436"/>
      <c r="V7" s="436"/>
      <c r="W7" s="436"/>
      <c r="X7" s="436"/>
      <c r="Y7" s="436"/>
      <c r="Z7" s="437"/>
    </row>
    <row r="8" spans="1:26" ht="30" customHeight="1" x14ac:dyDescent="0.15">
      <c r="B8" s="102"/>
      <c r="C8" s="106"/>
      <c r="D8" s="103"/>
      <c r="E8" s="104"/>
      <c r="F8" s="104"/>
      <c r="G8" s="104"/>
      <c r="H8" s="104"/>
      <c r="I8" s="104"/>
      <c r="J8" s="107"/>
      <c r="K8" s="105"/>
      <c r="M8" s="434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7"/>
    </row>
    <row r="9" spans="1:26" s="189" customFormat="1" ht="30" customHeight="1" x14ac:dyDescent="0.2">
      <c r="B9" s="187"/>
      <c r="C9" s="55" t="s">
        <v>2</v>
      </c>
      <c r="D9" s="259"/>
      <c r="E9" s="1376" t="str">
        <f>Entidad</f>
        <v>TEA Tenerife Espacio de las Artes, Entidad Pública Empresarial Local</v>
      </c>
      <c r="F9" s="1376"/>
      <c r="G9" s="1376"/>
      <c r="H9" s="1376"/>
      <c r="I9" s="1376"/>
      <c r="J9" s="1376"/>
      <c r="K9" s="105"/>
      <c r="M9" s="434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7"/>
    </row>
    <row r="10" spans="1:26" ht="7.25" customHeight="1" x14ac:dyDescent="0.15">
      <c r="B10" s="102"/>
      <c r="C10" s="103"/>
      <c r="D10" s="103"/>
      <c r="E10" s="104"/>
      <c r="F10" s="104"/>
      <c r="G10" s="104"/>
      <c r="H10" s="104"/>
      <c r="I10" s="104"/>
      <c r="J10" s="103"/>
      <c r="K10" s="105"/>
      <c r="M10" s="434"/>
      <c r="N10" s="436"/>
      <c r="O10" s="436"/>
      <c r="P10" s="436"/>
      <c r="Q10" s="436"/>
      <c r="R10" s="436"/>
      <c r="S10" s="436"/>
      <c r="T10" s="436"/>
      <c r="U10" s="436"/>
      <c r="V10" s="436"/>
      <c r="W10" s="436"/>
      <c r="X10" s="436"/>
      <c r="Y10" s="436"/>
      <c r="Z10" s="437"/>
    </row>
    <row r="11" spans="1:26" s="114" customFormat="1" ht="30" customHeight="1" x14ac:dyDescent="0.2">
      <c r="B11" s="110"/>
      <c r="C11" s="111" t="s">
        <v>475</v>
      </c>
      <c r="D11" s="111"/>
      <c r="E11" s="112"/>
      <c r="F11" s="112"/>
      <c r="G11" s="112"/>
      <c r="H11" s="112"/>
      <c r="I11" s="112"/>
      <c r="J11" s="112"/>
      <c r="K11" s="105"/>
      <c r="M11" s="434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6"/>
      <c r="Y11" s="436"/>
      <c r="Z11" s="437"/>
    </row>
    <row r="12" spans="1:26" s="114" customFormat="1" ht="30" customHeight="1" x14ac:dyDescent="0.2">
      <c r="B12" s="110"/>
      <c r="C12" s="1447"/>
      <c r="D12" s="1447"/>
      <c r="E12" s="95"/>
      <c r="F12" s="95"/>
      <c r="G12" s="95"/>
      <c r="H12" s="95"/>
      <c r="I12" s="95"/>
      <c r="J12" s="258"/>
      <c r="K12" s="105"/>
      <c r="M12" s="434"/>
      <c r="N12" s="436"/>
      <c r="O12" s="436"/>
      <c r="P12" s="436"/>
      <c r="Q12" s="436"/>
      <c r="R12" s="436"/>
      <c r="S12" s="436"/>
      <c r="T12" s="436"/>
      <c r="U12" s="436"/>
      <c r="V12" s="436"/>
      <c r="W12" s="436"/>
      <c r="X12" s="436"/>
      <c r="Y12" s="436"/>
      <c r="Z12" s="437"/>
    </row>
    <row r="13" spans="1:26" ht="29" customHeight="1" x14ac:dyDescent="0.15">
      <c r="B13" s="116"/>
      <c r="C13" s="65" t="s">
        <v>500</v>
      </c>
      <c r="D13" s="155"/>
      <c r="E13" s="95"/>
      <c r="F13" s="95"/>
      <c r="G13" s="95"/>
      <c r="H13" s="95"/>
      <c r="I13" s="95"/>
      <c r="J13" s="103"/>
      <c r="K13" s="105"/>
      <c r="M13" s="434"/>
      <c r="N13" s="436"/>
      <c r="O13" s="436"/>
      <c r="P13" s="436"/>
      <c r="Q13" s="436"/>
      <c r="R13" s="436"/>
      <c r="S13" s="436"/>
      <c r="T13" s="436"/>
      <c r="U13" s="436"/>
      <c r="V13" s="436"/>
      <c r="W13" s="436"/>
      <c r="X13" s="436"/>
      <c r="Y13" s="436"/>
      <c r="Z13" s="437"/>
    </row>
    <row r="14" spans="1:26" ht="25.25" customHeight="1" x14ac:dyDescent="0.15">
      <c r="B14" s="116"/>
      <c r="C14" s="589" t="s">
        <v>509</v>
      </c>
      <c r="D14" s="590"/>
      <c r="E14" s="155"/>
      <c r="F14" s="95"/>
      <c r="G14" s="95"/>
      <c r="H14" s="95"/>
      <c r="I14" s="95"/>
      <c r="J14" s="95"/>
      <c r="K14" s="105"/>
      <c r="M14" s="434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437"/>
    </row>
    <row r="15" spans="1:26" ht="23" customHeight="1" x14ac:dyDescent="0.15">
      <c r="B15" s="116"/>
      <c r="C15" s="529" t="s">
        <v>655</v>
      </c>
      <c r="D15" s="216" t="s">
        <v>476</v>
      </c>
      <c r="F15" s="95"/>
      <c r="G15" s="95"/>
      <c r="H15" s="95"/>
      <c r="I15" s="95"/>
      <c r="J15" s="95"/>
      <c r="K15" s="105"/>
      <c r="M15" s="434"/>
      <c r="N15" s="436"/>
      <c r="O15" s="436"/>
      <c r="P15" s="436"/>
      <c r="Q15" s="436"/>
      <c r="R15" s="436"/>
      <c r="S15" s="436"/>
      <c r="T15" s="436"/>
      <c r="U15" s="436"/>
      <c r="V15" s="436"/>
      <c r="W15" s="436"/>
      <c r="X15" s="436"/>
      <c r="Y15" s="436"/>
      <c r="Z15" s="437"/>
    </row>
    <row r="16" spans="1:26" ht="9" customHeight="1" x14ac:dyDescent="0.15">
      <c r="B16" s="116"/>
      <c r="C16" s="154"/>
      <c r="D16" s="216"/>
      <c r="F16" s="95"/>
      <c r="G16" s="95"/>
      <c r="H16" s="95"/>
      <c r="I16" s="95"/>
      <c r="J16" s="95"/>
      <c r="K16" s="105"/>
      <c r="M16" s="434"/>
      <c r="N16" s="436"/>
      <c r="O16" s="436"/>
      <c r="P16" s="436"/>
      <c r="Q16" s="436"/>
      <c r="R16" s="436"/>
      <c r="S16" s="436"/>
      <c r="T16" s="436"/>
      <c r="U16" s="436"/>
      <c r="V16" s="436"/>
      <c r="W16" s="436"/>
      <c r="X16" s="436"/>
      <c r="Y16" s="436"/>
      <c r="Z16" s="437"/>
    </row>
    <row r="17" spans="2:26" ht="23" customHeight="1" x14ac:dyDescent="0.15">
      <c r="B17" s="116"/>
      <c r="C17" s="529"/>
      <c r="D17" s="216" t="s">
        <v>477</v>
      </c>
      <c r="F17" s="95"/>
      <c r="G17" s="95"/>
      <c r="H17" s="95"/>
      <c r="I17" s="95"/>
      <c r="J17" s="95"/>
      <c r="K17" s="105"/>
      <c r="M17" s="434"/>
      <c r="N17" s="436"/>
      <c r="O17" s="436"/>
      <c r="P17" s="436"/>
      <c r="Q17" s="436"/>
      <c r="R17" s="436"/>
      <c r="S17" s="436"/>
      <c r="T17" s="436"/>
      <c r="U17" s="436"/>
      <c r="V17" s="436"/>
      <c r="W17" s="436"/>
      <c r="X17" s="436"/>
      <c r="Y17" s="436"/>
      <c r="Z17" s="437"/>
    </row>
    <row r="18" spans="2:26" ht="10.25" customHeight="1" x14ac:dyDescent="0.15">
      <c r="B18" s="116"/>
      <c r="C18" s="154"/>
      <c r="D18" s="216"/>
      <c r="F18" s="95"/>
      <c r="G18" s="95"/>
      <c r="H18" s="95"/>
      <c r="I18" s="95"/>
      <c r="J18" s="95"/>
      <c r="K18" s="105"/>
      <c r="M18" s="434"/>
      <c r="N18" s="436"/>
      <c r="O18" s="436"/>
      <c r="P18" s="436"/>
      <c r="Q18" s="436"/>
      <c r="R18" s="436"/>
      <c r="S18" s="436"/>
      <c r="T18" s="436"/>
      <c r="U18" s="436"/>
      <c r="V18" s="436"/>
      <c r="W18" s="436"/>
      <c r="X18" s="436"/>
      <c r="Y18" s="436"/>
      <c r="Z18" s="437"/>
    </row>
    <row r="19" spans="2:26" ht="23" customHeight="1" x14ac:dyDescent="0.15">
      <c r="B19" s="116"/>
      <c r="C19" s="529"/>
      <c r="D19" s="216" t="s">
        <v>478</v>
      </c>
      <c r="F19" s="95"/>
      <c r="G19" s="95"/>
      <c r="H19" s="95"/>
      <c r="I19" s="95"/>
      <c r="J19" s="95"/>
      <c r="K19" s="105"/>
      <c r="M19" s="434"/>
      <c r="N19" s="436"/>
      <c r="O19" s="436"/>
      <c r="P19" s="436"/>
      <c r="Q19" s="436"/>
      <c r="R19" s="436"/>
      <c r="S19" s="436"/>
      <c r="T19" s="436"/>
      <c r="U19" s="436"/>
      <c r="V19" s="436"/>
      <c r="W19" s="436"/>
      <c r="X19" s="436"/>
      <c r="Y19" s="436"/>
      <c r="Z19" s="437"/>
    </row>
    <row r="20" spans="2:26" ht="9" customHeight="1" x14ac:dyDescent="0.15">
      <c r="B20" s="116"/>
      <c r="C20" s="154"/>
      <c r="D20" s="216"/>
      <c r="F20" s="95"/>
      <c r="G20" s="95"/>
      <c r="H20" s="95"/>
      <c r="I20" s="95"/>
      <c r="J20" s="95"/>
      <c r="K20" s="105"/>
      <c r="M20" s="434"/>
      <c r="N20" s="436"/>
      <c r="O20" s="436"/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7"/>
    </row>
    <row r="21" spans="2:26" ht="23" customHeight="1" x14ac:dyDescent="0.15">
      <c r="B21" s="116"/>
      <c r="C21" s="529"/>
      <c r="D21" s="216" t="s">
        <v>479</v>
      </c>
      <c r="F21" s="95"/>
      <c r="G21" s="95"/>
      <c r="H21" s="95"/>
      <c r="I21" s="95"/>
      <c r="J21" s="95"/>
      <c r="K21" s="105"/>
      <c r="M21" s="434"/>
      <c r="N21" s="436"/>
      <c r="O21" s="436"/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7"/>
    </row>
    <row r="22" spans="2:26" ht="9" customHeight="1" x14ac:dyDescent="0.15">
      <c r="B22" s="116"/>
      <c r="C22" s="154"/>
      <c r="D22" s="216"/>
      <c r="F22" s="95"/>
      <c r="G22" s="95"/>
      <c r="H22" s="95"/>
      <c r="I22" s="95"/>
      <c r="J22" s="95"/>
      <c r="K22" s="105"/>
      <c r="M22" s="434"/>
      <c r="N22" s="436"/>
      <c r="O22" s="436"/>
      <c r="P22" s="436"/>
      <c r="Q22" s="436"/>
      <c r="R22" s="436"/>
      <c r="S22" s="436"/>
      <c r="T22" s="436"/>
      <c r="U22" s="436"/>
      <c r="V22" s="436"/>
      <c r="W22" s="436"/>
      <c r="X22" s="436"/>
      <c r="Y22" s="436"/>
      <c r="Z22" s="437"/>
    </row>
    <row r="23" spans="2:26" ht="23" customHeight="1" x14ac:dyDescent="0.15">
      <c r="B23" s="116"/>
      <c r="C23" s="529"/>
      <c r="D23" s="216" t="s">
        <v>480</v>
      </c>
      <c r="F23" s="95"/>
      <c r="G23" s="95"/>
      <c r="H23" s="95"/>
      <c r="I23" s="95"/>
      <c r="J23" s="95"/>
      <c r="K23" s="105"/>
      <c r="M23" s="434"/>
      <c r="N23" s="436"/>
      <c r="O23" s="436"/>
      <c r="P23" s="436"/>
      <c r="Q23" s="436"/>
      <c r="R23" s="436"/>
      <c r="S23" s="436"/>
      <c r="T23" s="436"/>
      <c r="U23" s="436"/>
      <c r="V23" s="436"/>
      <c r="W23" s="436"/>
      <c r="X23" s="436"/>
      <c r="Y23" s="436"/>
      <c r="Z23" s="437"/>
    </row>
    <row r="24" spans="2:26" ht="23" customHeight="1" x14ac:dyDescent="0.15">
      <c r="B24" s="116"/>
      <c r="C24" s="154"/>
      <c r="D24" s="216"/>
      <c r="F24" s="95"/>
      <c r="G24" s="95"/>
      <c r="H24" s="95"/>
      <c r="I24" s="95"/>
      <c r="J24" s="95"/>
      <c r="K24" s="105"/>
      <c r="M24" s="434"/>
      <c r="N24" s="436"/>
      <c r="O24" s="436"/>
      <c r="P24" s="436"/>
      <c r="Q24" s="436"/>
      <c r="R24" s="436"/>
      <c r="S24" s="436"/>
      <c r="T24" s="436"/>
      <c r="U24" s="436"/>
      <c r="V24" s="436"/>
      <c r="W24" s="436"/>
      <c r="X24" s="436"/>
      <c r="Y24" s="436"/>
      <c r="Z24" s="437"/>
    </row>
    <row r="25" spans="2:26" ht="23" customHeight="1" x14ac:dyDescent="0.15">
      <c r="B25" s="116"/>
      <c r="C25" s="31"/>
      <c r="D25" s="155"/>
      <c r="E25" s="155"/>
      <c r="F25" s="95"/>
      <c r="G25" s="95"/>
      <c r="H25" s="95"/>
      <c r="I25" s="95"/>
      <c r="J25" s="95"/>
      <c r="K25" s="105"/>
      <c r="M25" s="434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6"/>
      <c r="Y25" s="436"/>
      <c r="Z25" s="437"/>
    </row>
    <row r="26" spans="2:26" ht="23" customHeight="1" x14ac:dyDescent="0.15">
      <c r="B26" s="116"/>
      <c r="C26" s="65" t="s">
        <v>483</v>
      </c>
      <c r="E26" s="155"/>
      <c r="F26" s="95"/>
      <c r="G26" s="95"/>
      <c r="H26" s="95"/>
      <c r="I26" s="95"/>
      <c r="J26" s="95"/>
      <c r="K26" s="105"/>
      <c r="M26" s="434"/>
      <c r="N26" s="436"/>
      <c r="O26" s="436"/>
      <c r="P26" s="436"/>
      <c r="Q26" s="436"/>
      <c r="R26" s="436"/>
      <c r="S26" s="436"/>
      <c r="T26" s="436"/>
      <c r="U26" s="436"/>
      <c r="V26" s="436"/>
      <c r="W26" s="436"/>
      <c r="X26" s="436"/>
      <c r="Y26" s="436"/>
      <c r="Z26" s="437"/>
    </row>
    <row r="27" spans="2:26" ht="9" customHeight="1" x14ac:dyDescent="0.15">
      <c r="B27" s="116"/>
      <c r="C27" s="65"/>
      <c r="E27" s="155"/>
      <c r="F27" s="95"/>
      <c r="G27" s="95"/>
      <c r="H27" s="95"/>
      <c r="I27" s="95"/>
      <c r="J27" s="95"/>
      <c r="K27" s="105"/>
      <c r="M27" s="434"/>
      <c r="N27" s="436"/>
      <c r="O27" s="436"/>
      <c r="P27" s="436"/>
      <c r="Q27" s="436"/>
      <c r="R27" s="436"/>
      <c r="S27" s="436"/>
      <c r="T27" s="436"/>
      <c r="U27" s="436"/>
      <c r="V27" s="436"/>
      <c r="W27" s="436"/>
      <c r="X27" s="436"/>
      <c r="Y27" s="436"/>
      <c r="Z27" s="437"/>
    </row>
    <row r="28" spans="2:26" ht="23" customHeight="1" x14ac:dyDescent="0.15">
      <c r="B28" s="116"/>
      <c r="C28" s="190" t="str">
        <f>IF(VLOOKUP("X",C15:D23,2,FALSE)="#N/A",VLOOKUP("x",C15:D23,2,FALSE),VLOOKUP("X",C15:D23,2,FALSE))</f>
        <v xml:space="preserve">  Administracion General y Resto de sectores</v>
      </c>
      <c r="D28" s="191"/>
      <c r="E28" s="191"/>
      <c r="F28" s="191"/>
      <c r="G28" s="191"/>
      <c r="H28" s="268"/>
      <c r="I28" s="95"/>
      <c r="J28" s="95"/>
      <c r="K28" s="105"/>
      <c r="M28" s="434"/>
      <c r="N28" s="436"/>
      <c r="O28" s="436"/>
      <c r="P28" s="436"/>
      <c r="Q28" s="436"/>
      <c r="R28" s="436"/>
      <c r="S28" s="436"/>
      <c r="T28" s="436"/>
      <c r="U28" s="436"/>
      <c r="V28" s="436"/>
      <c r="W28" s="436"/>
      <c r="X28" s="436"/>
      <c r="Y28" s="436"/>
      <c r="Z28" s="437"/>
    </row>
    <row r="29" spans="2:26" ht="23" customHeight="1" x14ac:dyDescent="0.15">
      <c r="B29" s="116"/>
      <c r="C29" s="31"/>
      <c r="D29" s="155"/>
      <c r="E29" s="155"/>
      <c r="F29" s="95"/>
      <c r="G29" s="95"/>
      <c r="H29" s="95"/>
      <c r="I29" s="95"/>
      <c r="J29" s="95"/>
      <c r="K29" s="105"/>
      <c r="M29" s="434"/>
      <c r="N29" s="436"/>
      <c r="O29" s="436"/>
      <c r="P29" s="436"/>
      <c r="Q29" s="436"/>
      <c r="R29" s="436"/>
      <c r="S29" s="436"/>
      <c r="T29" s="436"/>
      <c r="U29" s="436"/>
      <c r="V29" s="436"/>
      <c r="W29" s="436"/>
      <c r="X29" s="436"/>
      <c r="Y29" s="436"/>
      <c r="Z29" s="437"/>
    </row>
    <row r="30" spans="2:26" s="128" customFormat="1" ht="23" customHeight="1" x14ac:dyDescent="0.15">
      <c r="B30" s="165"/>
      <c r="C30" s="190" t="s">
        <v>481</v>
      </c>
      <c r="D30" s="181"/>
      <c r="E30" s="207"/>
      <c r="F30" s="192">
        <f>E45</f>
        <v>13</v>
      </c>
      <c r="G30" s="95"/>
      <c r="H30" s="95"/>
      <c r="I30" s="95"/>
      <c r="J30" s="95"/>
      <c r="K30" s="127"/>
      <c r="M30" s="434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7"/>
    </row>
    <row r="31" spans="2:26" s="128" customFormat="1" ht="23" customHeight="1" x14ac:dyDescent="0.15">
      <c r="B31" s="165"/>
      <c r="C31" s="274" t="s">
        <v>482</v>
      </c>
      <c r="D31" s="275"/>
      <c r="E31" s="276"/>
      <c r="F31" s="192">
        <f>J45+F53</f>
        <v>700493.11</v>
      </c>
      <c r="G31" s="95"/>
      <c r="H31" s="95"/>
      <c r="I31" s="95"/>
      <c r="J31" s="95"/>
      <c r="K31" s="127"/>
      <c r="M31" s="434"/>
      <c r="N31" s="436"/>
      <c r="O31" s="436"/>
      <c r="P31" s="436"/>
      <c r="Q31" s="436"/>
      <c r="R31" s="436"/>
      <c r="S31" s="436"/>
      <c r="T31" s="436"/>
      <c r="U31" s="436"/>
      <c r="V31" s="436"/>
      <c r="W31" s="436"/>
      <c r="X31" s="436"/>
      <c r="Y31" s="436"/>
      <c r="Z31" s="437"/>
    </row>
    <row r="32" spans="2:26" ht="23" customHeight="1" x14ac:dyDescent="0.15">
      <c r="B32" s="116"/>
      <c r="D32" s="216"/>
      <c r="E32" s="155"/>
      <c r="F32" s="217"/>
      <c r="G32" s="95"/>
      <c r="H32" s="95"/>
      <c r="I32" s="95"/>
      <c r="J32" s="95"/>
      <c r="K32" s="105"/>
      <c r="M32" s="434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6"/>
      <c r="Y32" s="436"/>
      <c r="Z32" s="437"/>
    </row>
    <row r="33" spans="2:26" ht="23" customHeight="1" x14ac:dyDescent="0.15">
      <c r="B33" s="116"/>
      <c r="C33" s="31"/>
      <c r="D33" s="155"/>
      <c r="E33" s="155"/>
      <c r="F33" s="95"/>
      <c r="G33" s="95"/>
      <c r="H33" s="95"/>
      <c r="I33" s="95"/>
      <c r="J33" s="95"/>
      <c r="K33" s="105"/>
      <c r="M33" s="434"/>
      <c r="N33" s="436"/>
      <c r="O33" s="436"/>
      <c r="P33" s="436"/>
      <c r="Q33" s="436"/>
      <c r="R33" s="436"/>
      <c r="S33" s="436"/>
      <c r="T33" s="436"/>
      <c r="U33" s="436"/>
      <c r="V33" s="436"/>
      <c r="W33" s="436"/>
      <c r="X33" s="436"/>
      <c r="Y33" s="436"/>
      <c r="Z33" s="437"/>
    </row>
    <row r="34" spans="2:26" ht="23" customHeight="1" x14ac:dyDescent="0.15">
      <c r="B34" s="116"/>
      <c r="C34" s="65" t="s">
        <v>484</v>
      </c>
      <c r="E34" s="155"/>
      <c r="F34" s="95"/>
      <c r="G34" s="95"/>
      <c r="H34" s="95"/>
      <c r="I34" s="95"/>
      <c r="J34" s="95"/>
      <c r="K34" s="105"/>
      <c r="M34" s="434"/>
      <c r="N34" s="436"/>
      <c r="O34" s="436"/>
      <c r="P34" s="436"/>
      <c r="Q34" s="436"/>
      <c r="R34" s="436"/>
      <c r="S34" s="436"/>
      <c r="T34" s="436"/>
      <c r="U34" s="436"/>
      <c r="V34" s="436"/>
      <c r="W34" s="436"/>
      <c r="X34" s="436"/>
      <c r="Y34" s="436"/>
      <c r="Z34" s="437"/>
    </row>
    <row r="35" spans="2:26" ht="23" customHeight="1" x14ac:dyDescent="0.15">
      <c r="B35" s="116"/>
      <c r="C35" s="31"/>
      <c r="D35" s="155"/>
      <c r="E35" s="155"/>
      <c r="F35" s="95"/>
      <c r="G35" s="95"/>
      <c r="H35" s="95"/>
      <c r="I35" s="95"/>
      <c r="J35" s="95"/>
      <c r="K35" s="105"/>
      <c r="M35" s="434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6"/>
      <c r="Y35" s="436"/>
      <c r="Z35" s="437"/>
    </row>
    <row r="36" spans="2:26" s="242" customFormat="1" ht="23" customHeight="1" x14ac:dyDescent="0.15">
      <c r="B36" s="243"/>
      <c r="C36" s="260"/>
      <c r="D36" s="263"/>
      <c r="E36" s="244"/>
      <c r="F36" s="1435" t="s">
        <v>503</v>
      </c>
      <c r="G36" s="1436"/>
      <c r="H36" s="1436"/>
      <c r="I36" s="1436"/>
      <c r="J36" s="1437"/>
      <c r="K36" s="245"/>
      <c r="M36" s="434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7"/>
    </row>
    <row r="37" spans="2:26" s="242" customFormat="1" ht="24" customHeight="1" x14ac:dyDescent="0.15">
      <c r="B37" s="243"/>
      <c r="C37" s="1479" t="s">
        <v>485</v>
      </c>
      <c r="D37" s="1480"/>
      <c r="E37" s="247" t="s">
        <v>492</v>
      </c>
      <c r="F37" s="246" t="s">
        <v>494</v>
      </c>
      <c r="G37" s="246" t="s">
        <v>656</v>
      </c>
      <c r="H37" s="246" t="s">
        <v>497</v>
      </c>
      <c r="I37" s="246" t="s">
        <v>499</v>
      </c>
      <c r="J37" s="256" t="s">
        <v>501</v>
      </c>
      <c r="K37" s="245"/>
      <c r="M37" s="434"/>
      <c r="N37" s="436"/>
      <c r="O37" s="436"/>
      <c r="P37" s="436"/>
      <c r="Q37" s="436"/>
      <c r="R37" s="436"/>
      <c r="S37" s="436"/>
      <c r="T37" s="436"/>
      <c r="U37" s="436"/>
      <c r="V37" s="436"/>
      <c r="W37" s="436"/>
      <c r="X37" s="436"/>
      <c r="Y37" s="436"/>
      <c r="Z37" s="437"/>
    </row>
    <row r="38" spans="2:26" s="242" customFormat="1" ht="24" customHeight="1" x14ac:dyDescent="0.15">
      <c r="B38" s="243"/>
      <c r="C38" s="1459" t="s">
        <v>61</v>
      </c>
      <c r="D38" s="1460"/>
      <c r="E38" s="249" t="s">
        <v>493</v>
      </c>
      <c r="F38" s="248" t="s">
        <v>495</v>
      </c>
      <c r="G38" s="248" t="s">
        <v>496</v>
      </c>
      <c r="H38" s="248" t="s">
        <v>498</v>
      </c>
      <c r="I38" s="248" t="s">
        <v>502</v>
      </c>
      <c r="J38" s="251" t="s">
        <v>502</v>
      </c>
      <c r="K38" s="245"/>
      <c r="M38" s="434"/>
      <c r="N38" s="436"/>
      <c r="O38" s="436"/>
      <c r="P38" s="436"/>
      <c r="Q38" s="436"/>
      <c r="R38" s="436"/>
      <c r="S38" s="436"/>
      <c r="T38" s="436"/>
      <c r="U38" s="436"/>
      <c r="V38" s="436"/>
      <c r="W38" s="436"/>
      <c r="X38" s="436"/>
      <c r="Y38" s="436"/>
      <c r="Z38" s="437"/>
    </row>
    <row r="39" spans="2:26" ht="23" customHeight="1" x14ac:dyDescent="0.15">
      <c r="B39" s="116"/>
      <c r="C39" s="182" t="s">
        <v>486</v>
      </c>
      <c r="D39" s="266"/>
      <c r="E39" s="582"/>
      <c r="F39" s="581"/>
      <c r="G39" s="581"/>
      <c r="H39" s="581"/>
      <c r="I39" s="581"/>
      <c r="J39" s="591">
        <f>SUM(F39:I39)</f>
        <v>0</v>
      </c>
      <c r="K39" s="105"/>
      <c r="M39" s="434"/>
      <c r="N39" s="436"/>
      <c r="O39" s="436"/>
      <c r="P39" s="436"/>
      <c r="Q39" s="436"/>
      <c r="R39" s="436"/>
      <c r="S39" s="436"/>
      <c r="T39" s="436"/>
      <c r="U39" s="436"/>
      <c r="V39" s="436"/>
      <c r="W39" s="436"/>
      <c r="X39" s="436"/>
      <c r="Y39" s="436"/>
      <c r="Z39" s="437"/>
    </row>
    <row r="40" spans="2:26" ht="23" customHeight="1" x14ac:dyDescent="0.15">
      <c r="B40" s="116"/>
      <c r="C40" s="182" t="s">
        <v>487</v>
      </c>
      <c r="D40" s="266"/>
      <c r="E40" s="582"/>
      <c r="F40" s="581"/>
      <c r="G40" s="581"/>
      <c r="H40" s="581"/>
      <c r="I40" s="581"/>
      <c r="J40" s="591">
        <f>SUM(F40:I40)</f>
        <v>0</v>
      </c>
      <c r="K40" s="105"/>
      <c r="M40" s="434"/>
      <c r="N40" s="436"/>
      <c r="O40" s="436"/>
      <c r="P40" s="436"/>
      <c r="Q40" s="436"/>
      <c r="R40" s="436"/>
      <c r="S40" s="436"/>
      <c r="T40" s="436"/>
      <c r="U40" s="436"/>
      <c r="V40" s="436"/>
      <c r="W40" s="436"/>
      <c r="X40" s="436"/>
      <c r="Y40" s="436"/>
      <c r="Z40" s="437"/>
    </row>
    <row r="41" spans="2:26" ht="23" customHeight="1" x14ac:dyDescent="0.15">
      <c r="B41" s="116"/>
      <c r="C41" s="182" t="s">
        <v>488</v>
      </c>
      <c r="D41" s="266"/>
      <c r="E41" s="582"/>
      <c r="F41" s="581"/>
      <c r="G41" s="581"/>
      <c r="H41" s="581"/>
      <c r="I41" s="581"/>
      <c r="J41" s="591">
        <f t="shared" ref="J41:J44" si="0">SUM(F41:I41)</f>
        <v>0</v>
      </c>
      <c r="K41" s="105"/>
      <c r="M41" s="434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436"/>
      <c r="Z41" s="437"/>
    </row>
    <row r="42" spans="2:26" ht="23" customHeight="1" x14ac:dyDescent="0.15">
      <c r="B42" s="116"/>
      <c r="C42" s="182" t="s">
        <v>489</v>
      </c>
      <c r="D42" s="266"/>
      <c r="E42" s="582">
        <v>13</v>
      </c>
      <c r="F42" s="581">
        <v>486678.64</v>
      </c>
      <c r="G42" s="581">
        <v>16645.849999999999</v>
      </c>
      <c r="H42" s="581"/>
      <c r="I42" s="581">
        <v>33850</v>
      </c>
      <c r="J42" s="591">
        <f t="shared" si="0"/>
        <v>537174.49</v>
      </c>
      <c r="K42" s="105"/>
      <c r="M42" s="434"/>
      <c r="N42" s="436"/>
      <c r="O42" s="436"/>
      <c r="P42" s="436"/>
      <c r="Q42" s="436"/>
      <c r="R42" s="436"/>
      <c r="S42" s="436"/>
      <c r="T42" s="436"/>
      <c r="U42" s="436"/>
      <c r="V42" s="436"/>
      <c r="W42" s="436"/>
      <c r="X42" s="436"/>
      <c r="Y42" s="436"/>
      <c r="Z42" s="437"/>
    </row>
    <row r="43" spans="2:26" ht="23" customHeight="1" x14ac:dyDescent="0.15">
      <c r="B43" s="116"/>
      <c r="C43" s="182" t="s">
        <v>490</v>
      </c>
      <c r="D43" s="266"/>
      <c r="E43" s="582"/>
      <c r="F43" s="581"/>
      <c r="G43" s="581"/>
      <c r="H43" s="581"/>
      <c r="I43" s="581"/>
      <c r="J43" s="591">
        <f t="shared" si="0"/>
        <v>0</v>
      </c>
      <c r="K43" s="105"/>
      <c r="M43" s="434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7"/>
    </row>
    <row r="44" spans="2:26" ht="23" customHeight="1" x14ac:dyDescent="0.15">
      <c r="B44" s="116"/>
      <c r="C44" s="160" t="s">
        <v>491</v>
      </c>
      <c r="D44" s="267"/>
      <c r="E44" s="585"/>
      <c r="F44" s="584"/>
      <c r="G44" s="584"/>
      <c r="H44" s="584"/>
      <c r="I44" s="584"/>
      <c r="J44" s="591">
        <f t="shared" si="0"/>
        <v>0</v>
      </c>
      <c r="K44" s="105"/>
      <c r="M44" s="434"/>
      <c r="N44" s="436"/>
      <c r="O44" s="436"/>
      <c r="P44" s="436"/>
      <c r="Q44" s="436"/>
      <c r="R44" s="436"/>
      <c r="S44" s="436"/>
      <c r="T44" s="436"/>
      <c r="U44" s="436"/>
      <c r="V44" s="436"/>
      <c r="W44" s="436"/>
      <c r="X44" s="436"/>
      <c r="Y44" s="436"/>
      <c r="Z44" s="437"/>
    </row>
    <row r="45" spans="2:26" ht="23" customHeight="1" thickBot="1" x14ac:dyDescent="0.25">
      <c r="B45" s="116"/>
      <c r="C45" s="1500" t="s">
        <v>505</v>
      </c>
      <c r="D45" s="1501"/>
      <c r="E45" s="272">
        <f t="shared" ref="E45:J45" si="1">SUM(E39:E44)</f>
        <v>13</v>
      </c>
      <c r="F45" s="272">
        <f t="shared" si="1"/>
        <v>486678.64</v>
      </c>
      <c r="G45" s="272">
        <f t="shared" si="1"/>
        <v>16645.849999999999</v>
      </c>
      <c r="H45" s="272">
        <f t="shared" si="1"/>
        <v>0</v>
      </c>
      <c r="I45" s="272">
        <f t="shared" si="1"/>
        <v>33850</v>
      </c>
      <c r="J45" s="272">
        <f t="shared" si="1"/>
        <v>537174.49</v>
      </c>
      <c r="K45" s="105"/>
      <c r="M45" s="434"/>
      <c r="N45" s="436"/>
      <c r="O45" s="436"/>
      <c r="P45" s="436"/>
      <c r="Q45" s="436"/>
      <c r="R45" s="436"/>
      <c r="S45" s="436"/>
      <c r="T45" s="436"/>
      <c r="U45" s="436"/>
      <c r="V45" s="436"/>
      <c r="W45" s="436"/>
      <c r="X45" s="436"/>
      <c r="Y45" s="436"/>
      <c r="Z45" s="437"/>
    </row>
    <row r="46" spans="2:26" ht="23" customHeight="1" x14ac:dyDescent="0.15">
      <c r="B46" s="116"/>
      <c r="C46" s="31"/>
      <c r="D46" s="216"/>
      <c r="E46" s="216"/>
      <c r="F46" s="217"/>
      <c r="G46" s="217"/>
      <c r="H46" s="217"/>
      <c r="I46" s="217"/>
      <c r="J46" s="95"/>
      <c r="K46" s="105"/>
      <c r="M46" s="434"/>
      <c r="N46" s="436"/>
      <c r="O46" s="436"/>
      <c r="P46" s="436"/>
      <c r="Q46" s="436"/>
      <c r="R46" s="436"/>
      <c r="S46" s="436"/>
      <c r="T46" s="436"/>
      <c r="U46" s="436"/>
      <c r="V46" s="436"/>
      <c r="W46" s="436"/>
      <c r="X46" s="436"/>
      <c r="Y46" s="436"/>
      <c r="Z46" s="437"/>
    </row>
    <row r="47" spans="2:26" ht="23" customHeight="1" x14ac:dyDescent="0.15">
      <c r="B47" s="116"/>
      <c r="C47" s="31"/>
      <c r="D47" s="216"/>
      <c r="E47" s="216"/>
      <c r="F47" s="217"/>
      <c r="G47" s="217"/>
      <c r="H47" s="217"/>
      <c r="I47" s="217"/>
      <c r="J47" s="95"/>
      <c r="K47" s="105"/>
      <c r="M47" s="434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437"/>
    </row>
    <row r="48" spans="2:26" ht="23" customHeight="1" x14ac:dyDescent="0.15">
      <c r="B48" s="116"/>
      <c r="C48" s="65" t="s">
        <v>504</v>
      </c>
      <c r="D48" s="216"/>
      <c r="E48" s="216"/>
      <c r="F48" s="217"/>
      <c r="G48" s="217"/>
      <c r="H48" s="217"/>
      <c r="I48" s="217"/>
      <c r="J48" s="95"/>
      <c r="K48" s="105"/>
      <c r="M48" s="434"/>
      <c r="N48" s="436"/>
      <c r="O48" s="436"/>
      <c r="P48" s="436"/>
      <c r="Q48" s="436"/>
      <c r="R48" s="436"/>
      <c r="S48" s="436"/>
      <c r="T48" s="436"/>
      <c r="U48" s="436"/>
      <c r="V48" s="436"/>
      <c r="W48" s="436"/>
      <c r="X48" s="436"/>
      <c r="Y48" s="436"/>
      <c r="Z48" s="437"/>
    </row>
    <row r="49" spans="2:26" ht="23" customHeight="1" x14ac:dyDescent="0.15">
      <c r="B49" s="116"/>
      <c r="C49" s="65"/>
      <c r="D49" s="216"/>
      <c r="E49" s="216"/>
      <c r="F49" s="217"/>
      <c r="G49" s="217"/>
      <c r="H49" s="217"/>
      <c r="I49" s="217"/>
      <c r="J49" s="95"/>
      <c r="K49" s="105"/>
      <c r="M49" s="434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6"/>
      <c r="Y49" s="436"/>
      <c r="Z49" s="437"/>
    </row>
    <row r="50" spans="2:26" ht="23" customHeight="1" x14ac:dyDescent="0.15">
      <c r="B50" s="116"/>
      <c r="C50" s="1435" t="s">
        <v>443</v>
      </c>
      <c r="D50" s="1436"/>
      <c r="E50" s="1502"/>
      <c r="F50" s="269" t="s">
        <v>470</v>
      </c>
      <c r="G50" s="217"/>
      <c r="H50" s="217"/>
      <c r="I50" s="217"/>
      <c r="J50" s="95"/>
      <c r="K50" s="105"/>
      <c r="M50" s="434"/>
      <c r="N50" s="436"/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7"/>
    </row>
    <row r="51" spans="2:26" s="189" customFormat="1" ht="23" customHeight="1" x14ac:dyDescent="0.2">
      <c r="B51" s="187"/>
      <c r="C51" s="271" t="s">
        <v>506</v>
      </c>
      <c r="D51" s="270"/>
      <c r="E51" s="270"/>
      <c r="F51" s="592">
        <v>6556.33</v>
      </c>
      <c r="G51" s="217"/>
      <c r="H51" s="217"/>
      <c r="I51" s="217"/>
      <c r="J51" s="151"/>
      <c r="K51" s="188"/>
      <c r="M51" s="434"/>
      <c r="N51" s="436"/>
      <c r="O51" s="436"/>
      <c r="P51" s="436"/>
      <c r="Q51" s="436"/>
      <c r="R51" s="436"/>
      <c r="S51" s="436"/>
      <c r="T51" s="436"/>
      <c r="U51" s="436"/>
      <c r="V51" s="436"/>
      <c r="W51" s="436"/>
      <c r="X51" s="436"/>
      <c r="Y51" s="436"/>
      <c r="Z51" s="437"/>
    </row>
    <row r="52" spans="2:26" s="189" customFormat="1" ht="23" customHeight="1" x14ac:dyDescent="0.2">
      <c r="B52" s="187"/>
      <c r="C52" s="271" t="s">
        <v>507</v>
      </c>
      <c r="D52" s="270"/>
      <c r="E52" s="270"/>
      <c r="F52" s="592">
        <v>156762.29</v>
      </c>
      <c r="G52" s="217"/>
      <c r="H52" s="217"/>
      <c r="I52" s="217"/>
      <c r="J52" s="151"/>
      <c r="K52" s="188"/>
      <c r="M52" s="434"/>
      <c r="N52" s="436"/>
      <c r="O52" s="436"/>
      <c r="P52" s="436"/>
      <c r="Q52" s="436"/>
      <c r="R52" s="436"/>
      <c r="S52" s="436"/>
      <c r="T52" s="436"/>
      <c r="U52" s="436"/>
      <c r="V52" s="436"/>
      <c r="W52" s="436"/>
      <c r="X52" s="436"/>
      <c r="Y52" s="436"/>
      <c r="Z52" s="437"/>
    </row>
    <row r="53" spans="2:26" ht="23" customHeight="1" thickBot="1" x14ac:dyDescent="0.25">
      <c r="B53" s="116"/>
      <c r="C53" s="1500" t="s">
        <v>505</v>
      </c>
      <c r="D53" s="1503"/>
      <c r="E53" s="273"/>
      <c r="F53" s="272">
        <f>SUM(F51:F52)</f>
        <v>163318.62</v>
      </c>
      <c r="G53" s="217"/>
      <c r="H53" s="217"/>
      <c r="I53" s="217"/>
      <c r="J53" s="151"/>
      <c r="K53" s="105"/>
      <c r="M53" s="434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7"/>
    </row>
    <row r="54" spans="2:26" ht="23" customHeight="1" x14ac:dyDescent="0.15">
      <c r="B54" s="116"/>
      <c r="C54" s="31"/>
      <c r="D54" s="216"/>
      <c r="E54" s="216"/>
      <c r="F54" s="217"/>
      <c r="G54" s="217"/>
      <c r="H54" s="217"/>
      <c r="I54" s="217"/>
      <c r="J54" s="151"/>
      <c r="K54" s="105"/>
      <c r="M54" s="434"/>
      <c r="N54" s="436"/>
      <c r="O54" s="436"/>
      <c r="P54" s="436"/>
      <c r="Q54" s="436"/>
      <c r="R54" s="436"/>
      <c r="S54" s="436"/>
      <c r="T54" s="436"/>
      <c r="U54" s="436"/>
      <c r="V54" s="436"/>
      <c r="W54" s="436"/>
      <c r="X54" s="436"/>
      <c r="Y54" s="436"/>
      <c r="Z54" s="437"/>
    </row>
    <row r="55" spans="2:26" ht="23" customHeight="1" x14ac:dyDescent="0.15">
      <c r="B55" s="116"/>
      <c r="C55" s="31"/>
      <c r="D55" s="216"/>
      <c r="E55" s="216"/>
      <c r="F55" s="217"/>
      <c r="G55" s="217"/>
      <c r="H55" s="217"/>
      <c r="I55" s="217"/>
      <c r="J55" s="151"/>
      <c r="K55" s="105"/>
      <c r="M55" s="434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7"/>
    </row>
    <row r="56" spans="2:26" ht="23" customHeight="1" x14ac:dyDescent="0.15">
      <c r="B56" s="116"/>
      <c r="C56" s="65" t="s">
        <v>508</v>
      </c>
      <c r="D56" s="216"/>
      <c r="E56" s="216"/>
      <c r="F56" s="217"/>
      <c r="G56" s="217"/>
      <c r="H56" s="217"/>
      <c r="I56" s="217"/>
      <c r="J56" s="95"/>
      <c r="K56" s="105"/>
      <c r="M56" s="434"/>
      <c r="N56" s="436"/>
      <c r="O56" s="436"/>
      <c r="P56" s="436"/>
      <c r="Q56" s="436"/>
      <c r="R56" s="436"/>
      <c r="S56" s="436"/>
      <c r="T56" s="436"/>
      <c r="U56" s="436"/>
      <c r="V56" s="436"/>
      <c r="W56" s="436"/>
      <c r="X56" s="436"/>
      <c r="Y56" s="436"/>
      <c r="Z56" s="437"/>
    </row>
    <row r="57" spans="2:26" ht="23" customHeight="1" x14ac:dyDescent="0.2">
      <c r="B57" s="116"/>
      <c r="C57" s="593"/>
      <c r="D57" s="594"/>
      <c r="E57" s="594"/>
      <c r="F57" s="594"/>
      <c r="G57" s="594"/>
      <c r="H57" s="594"/>
      <c r="I57" s="594"/>
      <c r="J57" s="595"/>
      <c r="K57" s="105"/>
      <c r="M57" s="434"/>
      <c r="N57" s="436"/>
      <c r="O57" s="436"/>
      <c r="P57" s="436"/>
      <c r="Q57" s="436"/>
      <c r="R57" s="436"/>
      <c r="S57" s="436"/>
      <c r="T57" s="436"/>
      <c r="U57" s="436"/>
      <c r="V57" s="436"/>
      <c r="W57" s="436"/>
      <c r="X57" s="436"/>
      <c r="Y57" s="436"/>
      <c r="Z57" s="437"/>
    </row>
    <row r="58" spans="2:26" ht="23" customHeight="1" x14ac:dyDescent="0.2">
      <c r="B58" s="116"/>
      <c r="C58" s="596"/>
      <c r="D58" s="597"/>
      <c r="E58" s="597"/>
      <c r="F58" s="597"/>
      <c r="G58" s="597"/>
      <c r="H58" s="597"/>
      <c r="I58" s="597"/>
      <c r="J58" s="598"/>
      <c r="K58" s="105"/>
      <c r="M58" s="434"/>
      <c r="N58" s="436"/>
      <c r="O58" s="436"/>
      <c r="P58" s="436"/>
      <c r="Q58" s="436"/>
      <c r="R58" s="436"/>
      <c r="S58" s="436"/>
      <c r="T58" s="436"/>
      <c r="U58" s="436"/>
      <c r="V58" s="436"/>
      <c r="W58" s="436"/>
      <c r="X58" s="436"/>
      <c r="Y58" s="436"/>
      <c r="Z58" s="437"/>
    </row>
    <row r="59" spans="2:26" ht="23" customHeight="1" x14ac:dyDescent="0.2">
      <c r="B59" s="116"/>
      <c r="C59" s="596"/>
      <c r="D59" s="597"/>
      <c r="E59" s="597"/>
      <c r="F59" s="597"/>
      <c r="G59" s="597"/>
      <c r="H59" s="597"/>
      <c r="I59" s="597"/>
      <c r="J59" s="598"/>
      <c r="K59" s="105"/>
      <c r="M59" s="434"/>
      <c r="N59" s="436"/>
      <c r="O59" s="436"/>
      <c r="P59" s="436"/>
      <c r="Q59" s="436"/>
      <c r="R59" s="436"/>
      <c r="S59" s="436"/>
      <c r="T59" s="436"/>
      <c r="U59" s="436"/>
      <c r="V59" s="436"/>
      <c r="W59" s="436"/>
      <c r="X59" s="436"/>
      <c r="Y59" s="436"/>
      <c r="Z59" s="437"/>
    </row>
    <row r="60" spans="2:26" ht="23" customHeight="1" x14ac:dyDescent="0.2">
      <c r="B60" s="116"/>
      <c r="C60" s="599"/>
      <c r="D60" s="600"/>
      <c r="E60" s="600"/>
      <c r="F60" s="600"/>
      <c r="G60" s="600"/>
      <c r="H60" s="600"/>
      <c r="I60" s="600"/>
      <c r="J60" s="601"/>
      <c r="K60" s="105"/>
      <c r="M60" s="434"/>
      <c r="N60" s="436"/>
      <c r="O60" s="436"/>
      <c r="P60" s="436"/>
      <c r="Q60" s="436"/>
      <c r="R60" s="436"/>
      <c r="S60" s="436"/>
      <c r="T60" s="436"/>
      <c r="U60" s="436"/>
      <c r="V60" s="436"/>
      <c r="W60" s="436"/>
      <c r="X60" s="436"/>
      <c r="Y60" s="436"/>
      <c r="Z60" s="437"/>
    </row>
    <row r="61" spans="2:26" ht="23" customHeight="1" x14ac:dyDescent="0.2">
      <c r="B61" s="116"/>
      <c r="C61" s="905"/>
      <c r="D61" s="905"/>
      <c r="E61" s="905"/>
      <c r="F61" s="905"/>
      <c r="G61" s="905"/>
      <c r="H61" s="905"/>
      <c r="I61" s="905"/>
      <c r="J61" s="905"/>
      <c r="K61" s="105"/>
      <c r="M61" s="434"/>
      <c r="N61" s="436"/>
      <c r="O61" s="436"/>
      <c r="P61" s="436"/>
      <c r="Q61" s="436"/>
      <c r="R61" s="436"/>
      <c r="S61" s="436"/>
      <c r="T61" s="436"/>
      <c r="U61" s="436"/>
      <c r="V61" s="436"/>
      <c r="W61" s="436"/>
      <c r="X61" s="436"/>
      <c r="Y61" s="436"/>
      <c r="Z61" s="437"/>
    </row>
    <row r="62" spans="2:26" ht="23" customHeight="1" x14ac:dyDescent="0.2">
      <c r="B62" s="116"/>
      <c r="C62" s="906" t="s">
        <v>783</v>
      </c>
      <c r="D62" s="905"/>
      <c r="E62" s="905"/>
      <c r="F62" s="905"/>
      <c r="G62" s="905"/>
      <c r="H62" s="905"/>
      <c r="I62" s="905"/>
      <c r="J62" s="905"/>
      <c r="K62" s="105"/>
      <c r="M62" s="434"/>
      <c r="N62" s="436"/>
      <c r="O62" s="436"/>
      <c r="P62" s="436"/>
      <c r="Q62" s="436"/>
      <c r="R62" s="436"/>
      <c r="S62" s="436"/>
      <c r="T62" s="436"/>
      <c r="U62" s="436"/>
      <c r="V62" s="436"/>
      <c r="W62" s="436"/>
      <c r="X62" s="436"/>
      <c r="Y62" s="436"/>
      <c r="Z62" s="437"/>
    </row>
    <row r="63" spans="2:26" ht="23" customHeight="1" x14ac:dyDescent="0.2">
      <c r="B63" s="116"/>
      <c r="C63" s="907" t="s">
        <v>807</v>
      </c>
      <c r="D63" s="905"/>
      <c r="E63" s="905"/>
      <c r="F63" s="905"/>
      <c r="G63" s="905"/>
      <c r="H63" s="905"/>
      <c r="I63" s="905"/>
      <c r="J63" s="905"/>
      <c r="K63" s="105"/>
      <c r="M63" s="434"/>
      <c r="N63" s="436"/>
      <c r="O63" s="436"/>
      <c r="P63" s="436"/>
      <c r="Q63" s="436"/>
      <c r="R63" s="436"/>
      <c r="S63" s="436"/>
      <c r="T63" s="436"/>
      <c r="U63" s="436"/>
      <c r="V63" s="436"/>
      <c r="W63" s="436"/>
      <c r="X63" s="436"/>
      <c r="Y63" s="436"/>
      <c r="Z63" s="437"/>
    </row>
    <row r="64" spans="2:26" ht="23" customHeight="1" x14ac:dyDescent="0.2">
      <c r="B64" s="116"/>
      <c r="C64" s="905"/>
      <c r="D64" s="905"/>
      <c r="E64" s="905"/>
      <c r="F64" s="905"/>
      <c r="G64" s="905"/>
      <c r="H64" s="905"/>
      <c r="I64" s="905"/>
      <c r="J64" s="905"/>
      <c r="K64" s="105"/>
      <c r="M64" s="434"/>
      <c r="N64" s="436"/>
      <c r="O64" s="436"/>
      <c r="P64" s="436"/>
      <c r="Q64" s="436"/>
      <c r="R64" s="436"/>
      <c r="S64" s="436"/>
      <c r="T64" s="436"/>
      <c r="U64" s="436"/>
      <c r="V64" s="436"/>
      <c r="W64" s="436"/>
      <c r="X64" s="436"/>
      <c r="Y64" s="436"/>
      <c r="Z64" s="437"/>
    </row>
    <row r="65" spans="2:26" ht="23" customHeight="1" thickBot="1" x14ac:dyDescent="0.2">
      <c r="B65" s="120"/>
      <c r="C65" s="56"/>
      <c r="D65" s="1375"/>
      <c r="E65" s="1375"/>
      <c r="F65" s="56"/>
      <c r="G65" s="56"/>
      <c r="H65" s="56"/>
      <c r="I65" s="56"/>
      <c r="J65" s="121"/>
      <c r="K65" s="122"/>
      <c r="M65" s="428"/>
      <c r="N65" s="429"/>
      <c r="O65" s="429"/>
      <c r="P65" s="429"/>
      <c r="Q65" s="429"/>
      <c r="R65" s="429"/>
      <c r="S65" s="429"/>
      <c r="T65" s="429"/>
      <c r="U65" s="429"/>
      <c r="V65" s="429"/>
      <c r="W65" s="429"/>
      <c r="X65" s="429"/>
      <c r="Y65" s="429"/>
      <c r="Z65" s="430"/>
    </row>
    <row r="66" spans="2:26" ht="23" customHeight="1" x14ac:dyDescent="0.15">
      <c r="D66" s="103"/>
      <c r="E66" s="103"/>
      <c r="F66" s="104"/>
      <c r="G66" s="104"/>
      <c r="H66" s="104"/>
      <c r="I66" s="104"/>
      <c r="J66" s="104"/>
      <c r="L66" s="96" t="s">
        <v>936</v>
      </c>
    </row>
    <row r="67" spans="2:26" ht="13" x14ac:dyDescent="0.15">
      <c r="D67" s="123" t="s">
        <v>70</v>
      </c>
      <c r="E67" s="103"/>
      <c r="F67" s="104"/>
      <c r="G67" s="104"/>
      <c r="H67" s="104"/>
      <c r="I67" s="104"/>
      <c r="J67" s="94" t="s">
        <v>60</v>
      </c>
    </row>
    <row r="68" spans="2:26" ht="13" x14ac:dyDescent="0.15">
      <c r="D68" s="124" t="s">
        <v>71</v>
      </c>
      <c r="E68" s="103"/>
      <c r="F68" s="104"/>
      <c r="G68" s="104"/>
      <c r="H68" s="104"/>
      <c r="I68" s="104"/>
      <c r="J68" s="104"/>
    </row>
    <row r="69" spans="2:26" ht="13" x14ac:dyDescent="0.15">
      <c r="D69" s="124" t="s">
        <v>72</v>
      </c>
      <c r="E69" s="103"/>
      <c r="F69" s="104"/>
      <c r="G69" s="104"/>
      <c r="H69" s="104"/>
      <c r="I69" s="104"/>
      <c r="J69" s="104"/>
    </row>
    <row r="70" spans="2:26" ht="13" x14ac:dyDescent="0.15">
      <c r="D70" s="124" t="s">
        <v>73</v>
      </c>
      <c r="E70" s="103"/>
      <c r="F70" s="104"/>
      <c r="G70" s="104"/>
      <c r="H70" s="104"/>
      <c r="I70" s="104"/>
      <c r="J70" s="104"/>
    </row>
    <row r="71" spans="2:26" ht="13" x14ac:dyDescent="0.15">
      <c r="D71" s="124" t="s">
        <v>74</v>
      </c>
      <c r="E71" s="103"/>
      <c r="F71" s="104"/>
      <c r="G71" s="104"/>
      <c r="H71" s="104"/>
      <c r="I71" s="104"/>
      <c r="J71" s="104"/>
    </row>
    <row r="72" spans="2:26" ht="23" customHeight="1" x14ac:dyDescent="0.15">
      <c r="D72" s="103"/>
      <c r="E72" s="103"/>
      <c r="F72" s="104"/>
      <c r="G72" s="104"/>
      <c r="H72" s="104"/>
      <c r="I72" s="104"/>
      <c r="J72" s="104"/>
    </row>
    <row r="73" spans="2:26" ht="23" customHeight="1" x14ac:dyDescent="0.15">
      <c r="D73" s="103"/>
      <c r="E73" s="103"/>
      <c r="F73" s="104"/>
      <c r="G73" s="104"/>
      <c r="H73" s="104"/>
      <c r="I73" s="104"/>
      <c r="J73" s="104"/>
    </row>
    <row r="74" spans="2:26" ht="23" customHeight="1" x14ac:dyDescent="0.15">
      <c r="D74" s="103"/>
      <c r="E74" s="103"/>
      <c r="F74" s="104"/>
      <c r="G74" s="104"/>
      <c r="H74" s="104"/>
      <c r="I74" s="104"/>
      <c r="J74" s="104"/>
    </row>
    <row r="75" spans="2:26" ht="23" customHeight="1" x14ac:dyDescent="0.15">
      <c r="D75" s="103"/>
      <c r="E75" s="103"/>
      <c r="F75" s="104"/>
      <c r="G75" s="104"/>
      <c r="H75" s="104"/>
      <c r="I75" s="104"/>
      <c r="J75" s="104"/>
    </row>
    <row r="76" spans="2:26" ht="23" customHeight="1" x14ac:dyDescent="0.15">
      <c r="F76" s="104"/>
      <c r="G76" s="104"/>
      <c r="H76" s="104"/>
      <c r="I76" s="104"/>
      <c r="J76" s="104"/>
    </row>
  </sheetData>
  <sheetProtection sheet="1" objects="1" scenarios="1"/>
  <mergeCells count="10">
    <mergeCell ref="J6:J7"/>
    <mergeCell ref="C12:D12"/>
    <mergeCell ref="C45:D45"/>
    <mergeCell ref="D65:E65"/>
    <mergeCell ref="E9:J9"/>
    <mergeCell ref="C37:D37"/>
    <mergeCell ref="C38:D38"/>
    <mergeCell ref="F36:J36"/>
    <mergeCell ref="C50:E50"/>
    <mergeCell ref="C53:D53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4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X86"/>
  <sheetViews>
    <sheetView topLeftCell="A34" workbookViewId="0">
      <selection activeCell="D2" sqref="D2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5703125" style="96" customWidth="1"/>
    <col min="4" max="4" width="66.28515625" style="96" customWidth="1"/>
    <col min="5" max="5" width="14.28515625" style="97" customWidth="1"/>
    <col min="6" max="6" width="2.7109375" style="97" customWidth="1"/>
    <col min="7" max="7" width="79.28515625" style="97" customWidth="1"/>
    <col min="8" max="8" width="14.28515625" style="97" customWidth="1"/>
    <col min="9" max="9" width="3.28515625" style="96" customWidth="1"/>
    <col min="10" max="16384" width="10.7109375" style="96"/>
  </cols>
  <sheetData>
    <row r="2" spans="1:24" ht="23" customHeight="1" x14ac:dyDescent="0.15">
      <c r="D2" s="1248" t="s">
        <v>1002</v>
      </c>
    </row>
    <row r="3" spans="1:24" ht="23" customHeight="1" x14ac:dyDescent="0.15">
      <c r="D3" s="1248" t="s">
        <v>31</v>
      </c>
    </row>
    <row r="4" spans="1:24" ht="23" customHeight="1" thickBot="1" x14ac:dyDescent="0.2">
      <c r="A4" s="96" t="s">
        <v>935</v>
      </c>
    </row>
    <row r="5" spans="1:24" ht="9" customHeight="1" x14ac:dyDescent="0.15">
      <c r="B5" s="98"/>
      <c r="C5" s="99"/>
      <c r="D5" s="99"/>
      <c r="E5" s="100"/>
      <c r="F5" s="100"/>
      <c r="G5" s="100"/>
      <c r="H5" s="100"/>
      <c r="I5" s="101"/>
      <c r="K5" s="431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  <c r="W5" s="432"/>
      <c r="X5" s="433"/>
    </row>
    <row r="6" spans="1:24" ht="30" customHeight="1" x14ac:dyDescent="0.2">
      <c r="B6" s="102"/>
      <c r="C6" s="66" t="s">
        <v>0</v>
      </c>
      <c r="D6" s="103"/>
      <c r="E6" s="104"/>
      <c r="F6" s="104"/>
      <c r="G6" s="104"/>
      <c r="H6" s="1362">
        <f>ejercicio</f>
        <v>2020</v>
      </c>
      <c r="I6" s="105"/>
      <c r="K6" s="434"/>
      <c r="L6" s="435" t="s">
        <v>677</v>
      </c>
      <c r="M6" s="435"/>
      <c r="N6" s="435"/>
      <c r="O6" s="435"/>
      <c r="P6" s="436"/>
      <c r="Q6" s="436"/>
      <c r="R6" s="436"/>
      <c r="S6" s="436"/>
      <c r="T6" s="436"/>
      <c r="U6" s="436"/>
      <c r="V6" s="436"/>
      <c r="W6" s="436"/>
      <c r="X6" s="437"/>
    </row>
    <row r="7" spans="1:24" ht="30" customHeight="1" x14ac:dyDescent="0.2">
      <c r="B7" s="102"/>
      <c r="C7" s="66" t="s">
        <v>1</v>
      </c>
      <c r="D7" s="103"/>
      <c r="E7" s="104"/>
      <c r="F7" s="104"/>
      <c r="G7" s="104"/>
      <c r="H7" s="1362"/>
      <c r="I7" s="105"/>
      <c r="K7" s="434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6"/>
      <c r="W7" s="436"/>
      <c r="X7" s="437"/>
    </row>
    <row r="8" spans="1:24" ht="30" customHeight="1" x14ac:dyDescent="0.15">
      <c r="B8" s="102"/>
      <c r="C8" s="106"/>
      <c r="D8" s="103"/>
      <c r="E8" s="104"/>
      <c r="F8" s="104"/>
      <c r="G8" s="104"/>
      <c r="H8" s="107"/>
      <c r="I8" s="105"/>
      <c r="K8" s="434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7"/>
    </row>
    <row r="9" spans="1:24" s="189" customFormat="1" ht="30" customHeight="1" x14ac:dyDescent="0.2">
      <c r="B9" s="187"/>
      <c r="C9" s="55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376"/>
      <c r="I9" s="188"/>
      <c r="K9" s="434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7"/>
    </row>
    <row r="10" spans="1:24" ht="7.25" customHeight="1" x14ac:dyDescent="0.15">
      <c r="B10" s="102"/>
      <c r="C10" s="103"/>
      <c r="D10" s="103"/>
      <c r="E10" s="104"/>
      <c r="F10" s="104"/>
      <c r="G10" s="104"/>
      <c r="H10" s="104"/>
      <c r="I10" s="105"/>
      <c r="K10" s="434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6"/>
      <c r="X10" s="437"/>
    </row>
    <row r="11" spans="1:24" s="114" customFormat="1" ht="30" customHeight="1" x14ac:dyDescent="0.2">
      <c r="B11" s="110"/>
      <c r="C11" s="111" t="s">
        <v>512</v>
      </c>
      <c r="D11" s="111"/>
      <c r="E11" s="112"/>
      <c r="F11" s="112"/>
      <c r="G11" s="112"/>
      <c r="H11" s="112"/>
      <c r="I11" s="113"/>
      <c r="K11" s="434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7"/>
    </row>
    <row r="12" spans="1:24" s="114" customFormat="1" ht="30" customHeight="1" x14ac:dyDescent="0.2">
      <c r="B12" s="110"/>
      <c r="C12" s="1447"/>
      <c r="D12" s="1447"/>
      <c r="E12" s="95"/>
      <c r="F12" s="95"/>
      <c r="G12" s="95"/>
      <c r="H12" s="95"/>
      <c r="I12" s="113"/>
      <c r="K12" s="434"/>
      <c r="L12" s="436"/>
      <c r="M12" s="436"/>
      <c r="N12" s="436"/>
      <c r="O12" s="436"/>
      <c r="P12" s="436"/>
      <c r="Q12" s="436"/>
      <c r="R12" s="436"/>
      <c r="S12" s="436"/>
      <c r="T12" s="436"/>
      <c r="U12" s="436"/>
      <c r="V12" s="436"/>
      <c r="W12" s="436"/>
      <c r="X12" s="437"/>
    </row>
    <row r="13" spans="1:24" ht="29" customHeight="1" x14ac:dyDescent="0.15">
      <c r="B13" s="116"/>
      <c r="C13" s="1506" t="s">
        <v>513</v>
      </c>
      <c r="D13" s="1507"/>
      <c r="E13" s="1507"/>
      <c r="F13" s="1507"/>
      <c r="G13" s="1507"/>
      <c r="H13" s="1508"/>
      <c r="I13" s="105"/>
      <c r="K13" s="434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6"/>
      <c r="X13" s="437"/>
    </row>
    <row r="14" spans="1:24" ht="9" customHeight="1" x14ac:dyDescent="0.15">
      <c r="B14" s="116"/>
      <c r="C14" s="155"/>
      <c r="D14" s="155"/>
      <c r="E14" s="95"/>
      <c r="F14" s="95"/>
      <c r="G14" s="95"/>
      <c r="H14" s="95"/>
      <c r="I14" s="105"/>
      <c r="K14" s="434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7"/>
    </row>
    <row r="15" spans="1:24" s="253" customFormat="1" ht="23" customHeight="1" x14ac:dyDescent="0.15">
      <c r="B15" s="250"/>
      <c r="C15" s="1435" t="s">
        <v>516</v>
      </c>
      <c r="D15" s="1436"/>
      <c r="E15" s="1437"/>
      <c r="F15" s="151"/>
      <c r="G15" s="1435" t="s">
        <v>517</v>
      </c>
      <c r="H15" s="1437"/>
      <c r="I15" s="252"/>
      <c r="K15" s="434"/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6"/>
      <c r="X15" s="437"/>
    </row>
    <row r="16" spans="1:24" s="253" customFormat="1" ht="24" customHeight="1" x14ac:dyDescent="0.15">
      <c r="B16" s="250"/>
      <c r="C16" s="1435" t="s">
        <v>434</v>
      </c>
      <c r="D16" s="1437"/>
      <c r="E16" s="269" t="s">
        <v>470</v>
      </c>
      <c r="F16" s="151"/>
      <c r="G16" s="269" t="s">
        <v>434</v>
      </c>
      <c r="H16" s="254" t="s">
        <v>470</v>
      </c>
      <c r="I16" s="252"/>
      <c r="K16" s="434"/>
      <c r="L16" s="436"/>
      <c r="M16" s="436"/>
      <c r="N16" s="436"/>
      <c r="O16" s="436"/>
      <c r="P16" s="436"/>
      <c r="Q16" s="436"/>
      <c r="R16" s="436"/>
      <c r="S16" s="436"/>
      <c r="T16" s="436"/>
      <c r="U16" s="436"/>
      <c r="V16" s="436"/>
      <c r="W16" s="436"/>
      <c r="X16" s="437"/>
    </row>
    <row r="17" spans="2:24" s="119" customFormat="1" ht="23" customHeight="1" x14ac:dyDescent="0.15">
      <c r="B17" s="116"/>
      <c r="C17" s="283" t="s">
        <v>518</v>
      </c>
      <c r="D17" s="284"/>
      <c r="E17" s="533"/>
      <c r="F17" s="286"/>
      <c r="G17" s="285" t="str">
        <f>C17</f>
        <v>CABILDO INSULAR DE TENERIFE</v>
      </c>
      <c r="H17" s="533"/>
      <c r="I17" s="117"/>
      <c r="K17" s="434"/>
      <c r="L17" s="436"/>
      <c r="M17" s="436"/>
      <c r="N17" s="436"/>
      <c r="O17" s="436"/>
      <c r="P17" s="436"/>
      <c r="Q17" s="436"/>
      <c r="R17" s="436"/>
      <c r="S17" s="436"/>
      <c r="T17" s="436"/>
      <c r="U17" s="436"/>
      <c r="V17" s="436"/>
      <c r="W17" s="436"/>
      <c r="X17" s="437"/>
    </row>
    <row r="18" spans="2:24" s="119" customFormat="1" ht="23" customHeight="1" x14ac:dyDescent="0.15">
      <c r="B18" s="116"/>
      <c r="C18" s="287" t="s">
        <v>519</v>
      </c>
      <c r="D18" s="288"/>
      <c r="E18" s="533"/>
      <c r="F18" s="286"/>
      <c r="G18" s="285" t="str">
        <f t="shared" ref="G18:G55" si="0">C18</f>
        <v>O.A. DE MUSEOS Y CENTROS</v>
      </c>
      <c r="H18" s="533"/>
      <c r="I18" s="117"/>
      <c r="K18" s="434"/>
      <c r="L18" s="436"/>
      <c r="M18" s="436"/>
      <c r="N18" s="436"/>
      <c r="O18" s="436"/>
      <c r="P18" s="436"/>
      <c r="Q18" s="436"/>
      <c r="R18" s="436"/>
      <c r="S18" s="436"/>
      <c r="T18" s="436"/>
      <c r="U18" s="436"/>
      <c r="V18" s="436"/>
      <c r="W18" s="436"/>
      <c r="X18" s="437"/>
    </row>
    <row r="19" spans="2:24" s="119" customFormat="1" ht="23" customHeight="1" x14ac:dyDescent="0.15">
      <c r="B19" s="116"/>
      <c r="C19" s="287" t="s">
        <v>520</v>
      </c>
      <c r="D19" s="288"/>
      <c r="E19" s="533"/>
      <c r="F19" s="286"/>
      <c r="G19" s="285" t="str">
        <f t="shared" si="0"/>
        <v>O.A. INST. INS. ATENCIÓN SOC. Y SOCIOSAN.</v>
      </c>
      <c r="H19" s="533"/>
      <c r="I19" s="117"/>
      <c r="K19" s="434"/>
      <c r="L19" s="436"/>
      <c r="M19" s="436"/>
      <c r="N19" s="436"/>
      <c r="O19" s="436"/>
      <c r="P19" s="436"/>
      <c r="Q19" s="436"/>
      <c r="R19" s="436"/>
      <c r="S19" s="436"/>
      <c r="T19" s="436"/>
      <c r="U19" s="436"/>
      <c r="V19" s="436"/>
      <c r="W19" s="436"/>
      <c r="X19" s="437"/>
    </row>
    <row r="20" spans="2:24" s="119" customFormat="1" ht="23" customHeight="1" x14ac:dyDescent="0.15">
      <c r="B20" s="116"/>
      <c r="C20" s="287" t="s">
        <v>521</v>
      </c>
      <c r="D20" s="288"/>
      <c r="E20" s="533"/>
      <c r="F20" s="286"/>
      <c r="G20" s="285" t="str">
        <f t="shared" si="0"/>
        <v>O.A. PATRONATO INSULAR DE MUSICA</v>
      </c>
      <c r="H20" s="533"/>
      <c r="I20" s="117"/>
      <c r="K20" s="434"/>
      <c r="L20" s="436"/>
      <c r="M20" s="436"/>
      <c r="N20" s="436"/>
      <c r="O20" s="436"/>
      <c r="P20" s="436"/>
      <c r="Q20" s="436"/>
      <c r="R20" s="436"/>
      <c r="S20" s="436"/>
      <c r="T20" s="436"/>
      <c r="U20" s="436"/>
      <c r="V20" s="436"/>
      <c r="W20" s="436"/>
      <c r="X20" s="437"/>
    </row>
    <row r="21" spans="2:24" s="119" customFormat="1" ht="23" customHeight="1" x14ac:dyDescent="0.15">
      <c r="B21" s="116"/>
      <c r="C21" s="287" t="s">
        <v>522</v>
      </c>
      <c r="D21" s="288"/>
      <c r="E21" s="533"/>
      <c r="F21" s="286"/>
      <c r="G21" s="285" t="str">
        <f t="shared" si="0"/>
        <v>O.A. CONSEJO INSULAR DE AGUAS</v>
      </c>
      <c r="H21" s="533"/>
      <c r="I21" s="117"/>
      <c r="K21" s="434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6"/>
      <c r="W21" s="436"/>
      <c r="X21" s="437"/>
    </row>
    <row r="22" spans="2:24" s="119" customFormat="1" ht="23" customHeight="1" x14ac:dyDescent="0.15">
      <c r="B22" s="116"/>
      <c r="C22" s="287" t="s">
        <v>523</v>
      </c>
      <c r="D22" s="288"/>
      <c r="E22" s="533"/>
      <c r="F22" s="286"/>
      <c r="G22" s="285" t="str">
        <f t="shared" si="0"/>
        <v>EPEL. BALSAS DE TENERIFE</v>
      </c>
      <c r="H22" s="533"/>
      <c r="I22" s="117"/>
      <c r="K22" s="434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6"/>
      <c r="W22" s="436"/>
      <c r="X22" s="437"/>
    </row>
    <row r="23" spans="2:24" s="119" customFormat="1" ht="23" customHeight="1" x14ac:dyDescent="0.15">
      <c r="B23" s="116"/>
      <c r="C23" s="287" t="s">
        <v>777</v>
      </c>
      <c r="D23" s="288"/>
      <c r="E23" s="533"/>
      <c r="F23" s="286"/>
      <c r="G23" s="285" t="str">
        <f t="shared" si="0"/>
        <v>EPEL TEA, TENERFE ESPACIO DE LAS ARTES</v>
      </c>
      <c r="H23" s="533"/>
      <c r="I23" s="117"/>
      <c r="K23" s="434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6"/>
      <c r="X23" s="437"/>
    </row>
    <row r="24" spans="2:24" s="119" customFormat="1" ht="23" customHeight="1" x14ac:dyDescent="0.15">
      <c r="B24" s="116"/>
      <c r="C24" s="287" t="s">
        <v>524</v>
      </c>
      <c r="D24" s="288"/>
      <c r="E24" s="533"/>
      <c r="F24" s="286"/>
      <c r="G24" s="285" t="str">
        <f t="shared" si="0"/>
        <v>EPEL AGROTEIDE ENTIDAD INSULAR DESARROLLO AGRICOLA Y GANADERO</v>
      </c>
      <c r="H24" s="533"/>
      <c r="I24" s="117"/>
      <c r="K24" s="434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6"/>
      <c r="W24" s="436"/>
      <c r="X24" s="437"/>
    </row>
    <row r="25" spans="2:24" s="119" customFormat="1" ht="23" customHeight="1" x14ac:dyDescent="0.15">
      <c r="B25" s="116"/>
      <c r="C25" s="287" t="s">
        <v>525</v>
      </c>
      <c r="D25" s="288"/>
      <c r="E25" s="533"/>
      <c r="F25" s="286"/>
      <c r="G25" s="285" t="str">
        <f t="shared" si="0"/>
        <v>CASINO DE TAORO, SA</v>
      </c>
      <c r="H25" s="533"/>
      <c r="I25" s="117"/>
      <c r="K25" s="434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7"/>
    </row>
    <row r="26" spans="2:24" s="119" customFormat="1" ht="23" customHeight="1" x14ac:dyDescent="0.15">
      <c r="B26" s="116"/>
      <c r="C26" s="287" t="s">
        <v>526</v>
      </c>
      <c r="D26" s="288"/>
      <c r="E26" s="533"/>
      <c r="F26" s="286"/>
      <c r="G26" s="285" t="str">
        <f t="shared" si="0"/>
        <v>CASINO DE PLAYA DE LAS AMÉRICAS, SA</v>
      </c>
      <c r="H26" s="533"/>
      <c r="I26" s="117"/>
      <c r="K26" s="434"/>
      <c r="L26" s="436"/>
      <c r="M26" s="436"/>
      <c r="N26" s="436"/>
      <c r="O26" s="436"/>
      <c r="P26" s="436"/>
      <c r="Q26" s="436"/>
      <c r="R26" s="436"/>
      <c r="S26" s="436"/>
      <c r="T26" s="436"/>
      <c r="U26" s="436"/>
      <c r="V26" s="436"/>
      <c r="W26" s="436"/>
      <c r="X26" s="437"/>
    </row>
    <row r="27" spans="2:24" s="119" customFormat="1" ht="23" customHeight="1" x14ac:dyDescent="0.15">
      <c r="B27" s="116"/>
      <c r="C27" s="287" t="s">
        <v>527</v>
      </c>
      <c r="D27" s="288"/>
      <c r="E27" s="533"/>
      <c r="F27" s="286"/>
      <c r="G27" s="285" t="str">
        <f t="shared" si="0"/>
        <v>CASINO DE SANTA CRUZ, SA</v>
      </c>
      <c r="H27" s="533"/>
      <c r="I27" s="117"/>
      <c r="K27" s="434"/>
      <c r="L27" s="436"/>
      <c r="M27" s="436"/>
      <c r="N27" s="436"/>
      <c r="O27" s="436"/>
      <c r="P27" s="436"/>
      <c r="Q27" s="436"/>
      <c r="R27" s="436"/>
      <c r="S27" s="436"/>
      <c r="T27" s="436"/>
      <c r="U27" s="436"/>
      <c r="V27" s="436"/>
      <c r="W27" s="436"/>
      <c r="X27" s="437"/>
    </row>
    <row r="28" spans="2:24" s="119" customFormat="1" ht="23" customHeight="1" x14ac:dyDescent="0.15">
      <c r="B28" s="116"/>
      <c r="C28" s="287" t="s">
        <v>528</v>
      </c>
      <c r="D28" s="288"/>
      <c r="E28" s="533"/>
      <c r="F28" s="286"/>
      <c r="G28" s="285" t="str">
        <f t="shared" si="0"/>
        <v>INSTIT.FERIAL DE TENERIFE, SA</v>
      </c>
      <c r="H28" s="533"/>
      <c r="I28" s="117"/>
      <c r="K28" s="434"/>
      <c r="L28" s="436"/>
      <c r="M28" s="436"/>
      <c r="N28" s="436"/>
      <c r="O28" s="436"/>
      <c r="P28" s="436"/>
      <c r="Q28" s="436"/>
      <c r="R28" s="436"/>
      <c r="S28" s="436"/>
      <c r="T28" s="436"/>
      <c r="U28" s="436"/>
      <c r="V28" s="436"/>
      <c r="W28" s="436"/>
      <c r="X28" s="437"/>
    </row>
    <row r="29" spans="2:24" s="119" customFormat="1" ht="23" customHeight="1" x14ac:dyDescent="0.15">
      <c r="B29" s="116"/>
      <c r="C29" s="287" t="s">
        <v>529</v>
      </c>
      <c r="D29" s="288"/>
      <c r="E29" s="533"/>
      <c r="F29" s="286"/>
      <c r="G29" s="285" t="str">
        <f t="shared" si="0"/>
        <v>EMPRESA INSULAR DE ARTESANÍA, SA</v>
      </c>
      <c r="H29" s="533"/>
      <c r="I29" s="117"/>
      <c r="K29" s="434"/>
      <c r="L29" s="436"/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436"/>
      <c r="X29" s="437"/>
    </row>
    <row r="30" spans="2:24" s="119" customFormat="1" ht="23" customHeight="1" x14ac:dyDescent="0.15">
      <c r="B30" s="116"/>
      <c r="C30" s="287" t="s">
        <v>530</v>
      </c>
      <c r="D30" s="288"/>
      <c r="E30" s="533"/>
      <c r="F30" s="286"/>
      <c r="G30" s="285" t="str">
        <f t="shared" si="0"/>
        <v>SINPROMI.S.L.</v>
      </c>
      <c r="H30" s="533"/>
      <c r="I30" s="117"/>
      <c r="K30" s="434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7"/>
    </row>
    <row r="31" spans="2:24" s="119" customFormat="1" ht="23" customHeight="1" x14ac:dyDescent="0.15">
      <c r="B31" s="116"/>
      <c r="C31" s="287" t="s">
        <v>531</v>
      </c>
      <c r="D31" s="288"/>
      <c r="E31" s="533"/>
      <c r="F31" s="286"/>
      <c r="G31" s="285" t="str">
        <f t="shared" si="0"/>
        <v>AUDITORIO DE TENERIFE, SA</v>
      </c>
      <c r="H31" s="533"/>
      <c r="I31" s="117"/>
      <c r="K31" s="434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6"/>
      <c r="X31" s="437"/>
    </row>
    <row r="32" spans="2:24" s="119" customFormat="1" ht="23" customHeight="1" x14ac:dyDescent="0.15">
      <c r="B32" s="116"/>
      <c r="C32" s="287" t="s">
        <v>532</v>
      </c>
      <c r="D32" s="288"/>
      <c r="E32" s="533"/>
      <c r="F32" s="286"/>
      <c r="G32" s="285" t="str">
        <f t="shared" si="0"/>
        <v>GEST. INS. DEPORTE, CULT.Y OCIO, SA (IDECO)</v>
      </c>
      <c r="H32" s="533"/>
      <c r="I32" s="117"/>
      <c r="K32" s="434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7"/>
    </row>
    <row r="33" spans="2:24" s="119" customFormat="1" ht="23" customHeight="1" x14ac:dyDescent="0.15">
      <c r="B33" s="116"/>
      <c r="C33" s="287" t="s">
        <v>533</v>
      </c>
      <c r="D33" s="288"/>
      <c r="E33" s="533"/>
      <c r="F33" s="286"/>
      <c r="G33" s="285" t="str">
        <f t="shared" si="0"/>
        <v>TITSA</v>
      </c>
      <c r="H33" s="533"/>
      <c r="I33" s="117"/>
      <c r="K33" s="434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436"/>
      <c r="X33" s="437"/>
    </row>
    <row r="34" spans="2:24" s="119" customFormat="1" ht="23" customHeight="1" x14ac:dyDescent="0.15">
      <c r="B34" s="116"/>
      <c r="C34" s="287" t="s">
        <v>534</v>
      </c>
      <c r="D34" s="288"/>
      <c r="E34" s="533"/>
      <c r="F34" s="286"/>
      <c r="G34" s="285" t="str">
        <f t="shared" si="0"/>
        <v>SPET, TURISMO DE TENERIFE, S.A.</v>
      </c>
      <c r="H34" s="533"/>
      <c r="I34" s="117"/>
      <c r="K34" s="434"/>
      <c r="L34" s="436"/>
      <c r="M34" s="436"/>
      <c r="N34" s="436"/>
      <c r="O34" s="436"/>
      <c r="P34" s="436"/>
      <c r="Q34" s="436"/>
      <c r="R34" s="436"/>
      <c r="S34" s="436"/>
      <c r="T34" s="436"/>
      <c r="U34" s="436"/>
      <c r="V34" s="436"/>
      <c r="W34" s="436"/>
      <c r="X34" s="437"/>
    </row>
    <row r="35" spans="2:24" s="119" customFormat="1" ht="23" customHeight="1" x14ac:dyDescent="0.15">
      <c r="B35" s="116"/>
      <c r="C35" s="287" t="s">
        <v>535</v>
      </c>
      <c r="D35" s="288"/>
      <c r="E35" s="533"/>
      <c r="F35" s="286"/>
      <c r="G35" s="285" t="str">
        <f t="shared" si="0"/>
        <v>INSTITUTO MEDICO TINERFEÑO, S.A. (IMETISA)</v>
      </c>
      <c r="H35" s="533"/>
      <c r="I35" s="117"/>
      <c r="K35" s="434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7"/>
    </row>
    <row r="36" spans="2:24" s="119" customFormat="1" ht="23" customHeight="1" x14ac:dyDescent="0.15">
      <c r="B36" s="116"/>
      <c r="C36" s="287" t="s">
        <v>536</v>
      </c>
      <c r="D36" s="288"/>
      <c r="E36" s="533"/>
      <c r="F36" s="286"/>
      <c r="G36" s="285" t="str">
        <f t="shared" si="0"/>
        <v>METROPOLITANO DE TENERIFE, S.A.</v>
      </c>
      <c r="H36" s="533"/>
      <c r="I36" s="117"/>
      <c r="K36" s="434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7"/>
    </row>
    <row r="37" spans="2:24" s="119" customFormat="1" ht="23" customHeight="1" x14ac:dyDescent="0.15">
      <c r="B37" s="116"/>
      <c r="C37" s="287" t="s">
        <v>537</v>
      </c>
      <c r="D37" s="288"/>
      <c r="E37" s="533"/>
      <c r="F37" s="286"/>
      <c r="G37" s="285" t="str">
        <f t="shared" si="0"/>
        <v>INST. TECNOL. Y DE ENERGIAS RENOVABLES, S.A. (ITER)</v>
      </c>
      <c r="H37" s="533"/>
      <c r="I37" s="117"/>
      <c r="K37" s="434"/>
      <c r="L37" s="436"/>
      <c r="M37" s="436"/>
      <c r="N37" s="436"/>
      <c r="O37" s="436"/>
      <c r="P37" s="436"/>
      <c r="Q37" s="436"/>
      <c r="R37" s="436"/>
      <c r="S37" s="436"/>
      <c r="T37" s="436"/>
      <c r="U37" s="436"/>
      <c r="V37" s="436"/>
      <c r="W37" s="436"/>
      <c r="X37" s="437"/>
    </row>
    <row r="38" spans="2:24" s="119" customFormat="1" ht="23" customHeight="1" x14ac:dyDescent="0.15">
      <c r="B38" s="116"/>
      <c r="C38" s="287" t="s">
        <v>538</v>
      </c>
      <c r="D38" s="288"/>
      <c r="E38" s="533"/>
      <c r="F38" s="286"/>
      <c r="G38" s="285" t="str">
        <f t="shared" si="0"/>
        <v>CULTIVOS Y TECNOLOGÍAS AGRARIAS DE TENERIFE, S.A (CULTESA)</v>
      </c>
      <c r="H38" s="533"/>
      <c r="I38" s="117"/>
      <c r="K38" s="434"/>
      <c r="L38" s="436"/>
      <c r="M38" s="436"/>
      <c r="N38" s="436"/>
      <c r="O38" s="436"/>
      <c r="P38" s="436"/>
      <c r="Q38" s="436"/>
      <c r="R38" s="436"/>
      <c r="S38" s="436"/>
      <c r="T38" s="436"/>
      <c r="U38" s="436"/>
      <c r="V38" s="436"/>
      <c r="W38" s="436"/>
      <c r="X38" s="437"/>
    </row>
    <row r="39" spans="2:24" s="119" customFormat="1" ht="23" customHeight="1" x14ac:dyDescent="0.15">
      <c r="B39" s="116"/>
      <c r="C39" s="287" t="s">
        <v>539</v>
      </c>
      <c r="D39" s="288"/>
      <c r="E39" s="533"/>
      <c r="F39" s="286"/>
      <c r="G39" s="285" t="str">
        <f t="shared" si="0"/>
        <v>BUENAVISTA GOLF, S.A.</v>
      </c>
      <c r="H39" s="533"/>
      <c r="I39" s="117"/>
      <c r="K39" s="434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436"/>
      <c r="X39" s="437"/>
    </row>
    <row r="40" spans="2:24" s="119" customFormat="1" ht="23" customHeight="1" x14ac:dyDescent="0.15">
      <c r="B40" s="116"/>
      <c r="C40" s="287" t="s">
        <v>540</v>
      </c>
      <c r="D40" s="288"/>
      <c r="E40" s="533"/>
      <c r="F40" s="286"/>
      <c r="G40" s="285" t="str">
        <f t="shared" si="0"/>
        <v>PARQUE CIENTÍFICO Y TECNOLÓGICO DE TENERIFE, S.A.</v>
      </c>
      <c r="H40" s="533"/>
      <c r="I40" s="117"/>
      <c r="K40" s="434"/>
      <c r="L40" s="436"/>
      <c r="M40" s="436"/>
      <c r="N40" s="436"/>
      <c r="O40" s="436"/>
      <c r="P40" s="436"/>
      <c r="Q40" s="436"/>
      <c r="R40" s="436"/>
      <c r="S40" s="436"/>
      <c r="T40" s="436"/>
      <c r="U40" s="436"/>
      <c r="V40" s="436"/>
      <c r="W40" s="436"/>
      <c r="X40" s="437"/>
    </row>
    <row r="41" spans="2:24" s="119" customFormat="1" ht="23" customHeight="1" x14ac:dyDescent="0.15">
      <c r="B41" s="116"/>
      <c r="C41" s="287" t="s">
        <v>541</v>
      </c>
      <c r="D41" s="288"/>
      <c r="E41" s="533"/>
      <c r="F41" s="286"/>
      <c r="G41" s="285" t="str">
        <f t="shared" si="0"/>
        <v>INSTITUTO TECNOLÓGICO Y DE COMUNICACIONES DE TENERIFE, S.L. (IT3)</v>
      </c>
      <c r="H41" s="533"/>
      <c r="I41" s="117"/>
      <c r="K41" s="434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7"/>
    </row>
    <row r="42" spans="2:24" s="119" customFormat="1" ht="23" customHeight="1" x14ac:dyDescent="0.15">
      <c r="B42" s="116"/>
      <c r="C42" s="287" t="s">
        <v>542</v>
      </c>
      <c r="D42" s="288"/>
      <c r="E42" s="533"/>
      <c r="F42" s="286"/>
      <c r="G42" s="285" t="str">
        <f t="shared" si="0"/>
        <v>INSTITUTO VULCANOLÓGICO DE CANARIAS S.A.</v>
      </c>
      <c r="H42" s="533"/>
      <c r="I42" s="117"/>
      <c r="K42" s="434"/>
      <c r="L42" s="436"/>
      <c r="M42" s="436"/>
      <c r="N42" s="436"/>
      <c r="O42" s="436"/>
      <c r="P42" s="436"/>
      <c r="Q42" s="436"/>
      <c r="R42" s="436"/>
      <c r="S42" s="436"/>
      <c r="T42" s="436"/>
      <c r="U42" s="436"/>
      <c r="V42" s="436"/>
      <c r="W42" s="436"/>
      <c r="X42" s="437"/>
    </row>
    <row r="43" spans="2:24" s="119" customFormat="1" ht="23" customHeight="1" x14ac:dyDescent="0.15">
      <c r="B43" s="116"/>
      <c r="C43" s="287" t="s">
        <v>543</v>
      </c>
      <c r="D43" s="288"/>
      <c r="E43" s="533"/>
      <c r="F43" s="286"/>
      <c r="G43" s="285" t="str">
        <f t="shared" si="0"/>
        <v>CANARIAS SUBMARINE LINK, S.L. (Canalink)</v>
      </c>
      <c r="H43" s="533"/>
      <c r="I43" s="117"/>
      <c r="K43" s="434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7"/>
    </row>
    <row r="44" spans="2:24" s="119" customFormat="1" ht="23" customHeight="1" x14ac:dyDescent="0.15">
      <c r="B44" s="116"/>
      <c r="C44" s="287" t="s">
        <v>544</v>
      </c>
      <c r="D44" s="288"/>
      <c r="E44" s="533"/>
      <c r="F44" s="286"/>
      <c r="G44" s="285" t="str">
        <f t="shared" si="0"/>
        <v>CANALINK AFRICA, S.L.</v>
      </c>
      <c r="H44" s="533"/>
      <c r="I44" s="117"/>
      <c r="K44" s="434"/>
      <c r="L44" s="436"/>
      <c r="M44" s="436"/>
      <c r="N44" s="436"/>
      <c r="O44" s="436"/>
      <c r="P44" s="436"/>
      <c r="Q44" s="436"/>
      <c r="R44" s="436"/>
      <c r="S44" s="436"/>
      <c r="T44" s="436"/>
      <c r="U44" s="436"/>
      <c r="V44" s="436"/>
      <c r="W44" s="436"/>
      <c r="X44" s="437"/>
    </row>
    <row r="45" spans="2:24" s="119" customFormat="1" ht="23" customHeight="1" x14ac:dyDescent="0.15">
      <c r="B45" s="116"/>
      <c r="C45" s="287" t="s">
        <v>545</v>
      </c>
      <c r="D45" s="288"/>
      <c r="E45" s="533"/>
      <c r="F45" s="286"/>
      <c r="G45" s="285" t="str">
        <f t="shared" si="0"/>
        <v>CANALINK BAHARICOM, S.L.</v>
      </c>
      <c r="H45" s="533"/>
      <c r="I45" s="117"/>
      <c r="K45" s="434"/>
      <c r="L45" s="436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6"/>
      <c r="X45" s="437"/>
    </row>
    <row r="46" spans="2:24" s="119" customFormat="1" ht="23" customHeight="1" x14ac:dyDescent="0.15">
      <c r="B46" s="116"/>
      <c r="C46" s="287" t="s">
        <v>546</v>
      </c>
      <c r="D46" s="288"/>
      <c r="E46" s="533"/>
      <c r="F46" s="286"/>
      <c r="G46" s="285" t="str">
        <f t="shared" si="0"/>
        <v>GESTIÓN INSULAR DE AGUAS DE TENERIFE, S.A. (GESTA)</v>
      </c>
      <c r="H46" s="533"/>
      <c r="I46" s="117"/>
      <c r="K46" s="434"/>
      <c r="L46" s="436"/>
      <c r="M46" s="436"/>
      <c r="N46" s="436"/>
      <c r="O46" s="436"/>
      <c r="P46" s="436"/>
      <c r="Q46" s="436"/>
      <c r="R46" s="436"/>
      <c r="S46" s="436"/>
      <c r="T46" s="436"/>
      <c r="U46" s="436"/>
      <c r="V46" s="436"/>
      <c r="W46" s="436"/>
      <c r="X46" s="437"/>
    </row>
    <row r="47" spans="2:24" s="119" customFormat="1" ht="23" customHeight="1" x14ac:dyDescent="0.15">
      <c r="B47" s="116"/>
      <c r="C47" s="287" t="s">
        <v>547</v>
      </c>
      <c r="D47" s="288"/>
      <c r="E47" s="533"/>
      <c r="F47" s="286"/>
      <c r="G47" s="285" t="str">
        <f t="shared" si="0"/>
        <v>FUNDACION TENERIFE RURAL</v>
      </c>
      <c r="H47" s="533"/>
      <c r="I47" s="117"/>
      <c r="K47" s="434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7"/>
    </row>
    <row r="48" spans="2:24" s="119" customFormat="1" ht="23" customHeight="1" x14ac:dyDescent="0.15">
      <c r="B48" s="116"/>
      <c r="C48" s="287" t="s">
        <v>548</v>
      </c>
      <c r="D48" s="288"/>
      <c r="E48" s="533"/>
      <c r="F48" s="286"/>
      <c r="G48" s="285" t="str">
        <f t="shared" si="0"/>
        <v>FUNDACIÓN  ITB</v>
      </c>
      <c r="H48" s="533"/>
      <c r="I48" s="117"/>
      <c r="K48" s="434"/>
      <c r="L48" s="436"/>
      <c r="M48" s="436"/>
      <c r="N48" s="436"/>
      <c r="O48" s="436"/>
      <c r="P48" s="436"/>
      <c r="Q48" s="436"/>
      <c r="R48" s="436"/>
      <c r="S48" s="436"/>
      <c r="T48" s="436"/>
      <c r="U48" s="436"/>
      <c r="V48" s="436"/>
      <c r="W48" s="436"/>
      <c r="X48" s="437"/>
    </row>
    <row r="49" spans="2:24" s="119" customFormat="1" ht="23" customHeight="1" x14ac:dyDescent="0.15">
      <c r="B49" s="116"/>
      <c r="C49" s="287" t="s">
        <v>549</v>
      </c>
      <c r="D49" s="288"/>
      <c r="E49" s="533"/>
      <c r="F49" s="286"/>
      <c r="G49" s="285" t="str">
        <f t="shared" si="0"/>
        <v>FIFEDE</v>
      </c>
      <c r="H49" s="533"/>
      <c r="I49" s="117"/>
      <c r="K49" s="434"/>
      <c r="L49" s="436"/>
      <c r="M49" s="436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7"/>
    </row>
    <row r="50" spans="2:24" s="119" customFormat="1" ht="23" customHeight="1" x14ac:dyDescent="0.15">
      <c r="B50" s="116"/>
      <c r="C50" s="287" t="s">
        <v>550</v>
      </c>
      <c r="D50" s="288"/>
      <c r="E50" s="533"/>
      <c r="F50" s="286"/>
      <c r="G50" s="285" t="str">
        <f t="shared" si="0"/>
        <v>AGENCIA INSULAR DE LA ENERGIA</v>
      </c>
      <c r="H50" s="533"/>
      <c r="I50" s="117"/>
      <c r="K50" s="434"/>
      <c r="L50" s="436"/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6"/>
      <c r="X50" s="437"/>
    </row>
    <row r="51" spans="2:24" s="119" customFormat="1" ht="23" customHeight="1" x14ac:dyDescent="0.15">
      <c r="B51" s="116"/>
      <c r="C51" s="287" t="s">
        <v>551</v>
      </c>
      <c r="D51" s="288"/>
      <c r="E51" s="533"/>
      <c r="F51" s="286"/>
      <c r="G51" s="285" t="str">
        <f t="shared" si="0"/>
        <v>FUNDACIÓN CANARIAS FACTORÍA DE LA INNOVACIÓN TURÍSTICA</v>
      </c>
      <c r="H51" s="533"/>
      <c r="I51" s="117"/>
      <c r="K51" s="434"/>
      <c r="L51" s="436"/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6"/>
      <c r="X51" s="437"/>
    </row>
    <row r="52" spans="2:24" s="119" customFormat="1" ht="23" customHeight="1" x14ac:dyDescent="0.15">
      <c r="B52" s="116"/>
      <c r="C52" s="287" t="s">
        <v>552</v>
      </c>
      <c r="D52" s="288"/>
      <c r="E52" s="533"/>
      <c r="F52" s="286"/>
      <c r="G52" s="285" t="str">
        <f t="shared" si="0"/>
        <v>CONSORCIO PREVENSIÓN, EXTINCIÓN INCENDIOS Y SALVAMENTO DE LA ISLA DE TENERIFE</v>
      </c>
      <c r="H52" s="533"/>
      <c r="I52" s="117"/>
      <c r="K52" s="434"/>
      <c r="L52" s="436"/>
      <c r="M52" s="436"/>
      <c r="N52" s="436"/>
      <c r="O52" s="436"/>
      <c r="P52" s="436"/>
      <c r="Q52" s="436"/>
      <c r="R52" s="436"/>
      <c r="S52" s="436"/>
      <c r="T52" s="436"/>
      <c r="U52" s="436"/>
      <c r="V52" s="436"/>
      <c r="W52" s="436"/>
      <c r="X52" s="437"/>
    </row>
    <row r="53" spans="2:24" s="119" customFormat="1" ht="23" customHeight="1" x14ac:dyDescent="0.15">
      <c r="B53" s="116"/>
      <c r="C53" s="287" t="s">
        <v>553</v>
      </c>
      <c r="D53" s="288"/>
      <c r="E53" s="533"/>
      <c r="F53" s="286"/>
      <c r="G53" s="285" t="str">
        <f t="shared" si="0"/>
        <v>CONSORCIO DE TRIBUTOS DE LA ISLA DE TENERIFE</v>
      </c>
      <c r="H53" s="533"/>
      <c r="I53" s="117"/>
      <c r="K53" s="434"/>
      <c r="L53" s="436"/>
      <c r="M53" s="436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7"/>
    </row>
    <row r="54" spans="2:24" s="119" customFormat="1" ht="23" customHeight="1" x14ac:dyDescent="0.15">
      <c r="B54" s="116"/>
      <c r="C54" s="287" t="s">
        <v>554</v>
      </c>
      <c r="D54" s="288"/>
      <c r="E54" s="533"/>
      <c r="F54" s="286"/>
      <c r="G54" s="285" t="str">
        <f t="shared" si="0"/>
        <v>CONSORCIO ISLA BAJA</v>
      </c>
      <c r="H54" s="533"/>
      <c r="I54" s="117"/>
      <c r="K54" s="434"/>
      <c r="L54" s="436"/>
      <c r="M54" s="436"/>
      <c r="N54" s="436"/>
      <c r="O54" s="436"/>
      <c r="P54" s="436"/>
      <c r="Q54" s="436"/>
      <c r="R54" s="436"/>
      <c r="S54" s="436"/>
      <c r="T54" s="436"/>
      <c r="U54" s="436"/>
      <c r="V54" s="436"/>
      <c r="W54" s="436"/>
      <c r="X54" s="437"/>
    </row>
    <row r="55" spans="2:24" s="119" customFormat="1" ht="23" customHeight="1" x14ac:dyDescent="0.15">
      <c r="B55" s="116"/>
      <c r="C55" s="289" t="s">
        <v>555</v>
      </c>
      <c r="D55" s="290"/>
      <c r="E55" s="534"/>
      <c r="F55" s="286"/>
      <c r="G55" s="285" t="str">
        <f t="shared" si="0"/>
        <v>CONSORCIO URBANÍSTICO PARA LA REHABILITACIÓN DEL PTO. DE LA CRUZ</v>
      </c>
      <c r="H55" s="534"/>
      <c r="I55" s="117"/>
      <c r="K55" s="434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7"/>
    </row>
    <row r="56" spans="2:24" s="189" customFormat="1" ht="23" customHeight="1" thickBot="1" x14ac:dyDescent="0.25">
      <c r="B56" s="187"/>
      <c r="C56" s="1504" t="s">
        <v>471</v>
      </c>
      <c r="D56" s="1505"/>
      <c r="E56" s="175">
        <f>SUM(E17:E55)</f>
        <v>0</v>
      </c>
      <c r="F56" s="151"/>
      <c r="G56" s="220" t="s">
        <v>471</v>
      </c>
      <c r="H56" s="175">
        <f>SUM(H17:H55)</f>
        <v>0</v>
      </c>
      <c r="I56" s="188"/>
      <c r="K56" s="434"/>
      <c r="L56" s="436"/>
      <c r="M56" s="436"/>
      <c r="N56" s="436"/>
      <c r="O56" s="436"/>
      <c r="P56" s="436"/>
      <c r="Q56" s="436"/>
      <c r="R56" s="436"/>
      <c r="S56" s="436"/>
      <c r="T56" s="436"/>
      <c r="U56" s="436"/>
      <c r="V56" s="436"/>
      <c r="W56" s="436"/>
      <c r="X56" s="437"/>
    </row>
    <row r="57" spans="2:24" ht="23" customHeight="1" x14ac:dyDescent="0.15">
      <c r="B57" s="116"/>
      <c r="C57" s="216"/>
      <c r="D57" s="216"/>
      <c r="E57" s="217"/>
      <c r="F57" s="95"/>
      <c r="G57" s="217"/>
      <c r="H57" s="95"/>
      <c r="I57" s="105"/>
      <c r="K57" s="434"/>
      <c r="L57" s="436"/>
      <c r="M57" s="436"/>
      <c r="N57" s="436"/>
      <c r="O57" s="436"/>
      <c r="P57" s="436"/>
      <c r="Q57" s="436"/>
      <c r="R57" s="436"/>
      <c r="S57" s="436"/>
      <c r="T57" s="436"/>
      <c r="U57" s="436"/>
      <c r="V57" s="436"/>
      <c r="W57" s="436"/>
      <c r="X57" s="437"/>
    </row>
    <row r="58" spans="2:24" ht="23" customHeight="1" x14ac:dyDescent="0.15">
      <c r="B58" s="116"/>
      <c r="C58" s="1506" t="s">
        <v>778</v>
      </c>
      <c r="D58" s="1507"/>
      <c r="E58" s="1507"/>
      <c r="F58" s="1507"/>
      <c r="G58" s="1507"/>
      <c r="H58" s="1508"/>
      <c r="I58" s="105"/>
      <c r="K58" s="434"/>
      <c r="L58" s="436"/>
      <c r="M58" s="436"/>
      <c r="N58" s="436"/>
      <c r="O58" s="436"/>
      <c r="P58" s="436"/>
      <c r="Q58" s="436"/>
      <c r="R58" s="436"/>
      <c r="S58" s="436"/>
      <c r="T58" s="436"/>
      <c r="U58" s="436"/>
      <c r="V58" s="436"/>
      <c r="W58" s="436"/>
      <c r="X58" s="437"/>
    </row>
    <row r="59" spans="2:24" s="103" customFormat="1" ht="9" customHeight="1" x14ac:dyDescent="0.15">
      <c r="B59" s="116"/>
      <c r="C59" s="31"/>
      <c r="D59" s="31"/>
      <c r="E59" s="31"/>
      <c r="F59" s="31"/>
      <c r="G59" s="31"/>
      <c r="H59" s="31"/>
      <c r="I59" s="105"/>
      <c r="K59" s="434"/>
      <c r="L59" s="436"/>
      <c r="M59" s="436"/>
      <c r="N59" s="436"/>
      <c r="O59" s="436"/>
      <c r="P59" s="436"/>
      <c r="Q59" s="436"/>
      <c r="R59" s="436"/>
      <c r="S59" s="436"/>
      <c r="T59" s="436"/>
      <c r="U59" s="436"/>
      <c r="V59" s="436"/>
      <c r="W59" s="436"/>
      <c r="X59" s="437"/>
    </row>
    <row r="60" spans="2:24" ht="23" customHeight="1" x14ac:dyDescent="0.15">
      <c r="B60" s="116"/>
      <c r="C60" s="1506" t="s">
        <v>513</v>
      </c>
      <c r="D60" s="1507"/>
      <c r="E60" s="1507"/>
      <c r="F60" s="1507"/>
      <c r="G60" s="1507"/>
      <c r="H60" s="1508"/>
      <c r="I60" s="105"/>
      <c r="K60" s="434"/>
      <c r="L60" s="436"/>
      <c r="M60" s="436"/>
      <c r="N60" s="436"/>
      <c r="O60" s="436"/>
      <c r="P60" s="436"/>
      <c r="Q60" s="436"/>
      <c r="R60" s="436"/>
      <c r="S60" s="436"/>
      <c r="T60" s="436"/>
      <c r="U60" s="436"/>
      <c r="V60" s="436"/>
      <c r="W60" s="436"/>
      <c r="X60" s="437"/>
    </row>
    <row r="61" spans="2:24" s="103" customFormat="1" ht="9" customHeight="1" x14ac:dyDescent="0.15">
      <c r="B61" s="116"/>
      <c r="C61" s="31"/>
      <c r="D61" s="31"/>
      <c r="E61" s="31"/>
      <c r="F61" s="31"/>
      <c r="G61" s="31"/>
      <c r="H61" s="31"/>
      <c r="I61" s="105"/>
      <c r="K61" s="434"/>
      <c r="L61" s="436"/>
      <c r="M61" s="436"/>
      <c r="N61" s="436"/>
      <c r="O61" s="436"/>
      <c r="P61" s="436"/>
      <c r="Q61" s="436"/>
      <c r="R61" s="436"/>
      <c r="S61" s="436"/>
      <c r="T61" s="436"/>
      <c r="U61" s="436"/>
      <c r="V61" s="436"/>
      <c r="W61" s="436"/>
      <c r="X61" s="437"/>
    </row>
    <row r="62" spans="2:24" ht="23" customHeight="1" x14ac:dyDescent="0.15">
      <c r="B62" s="116"/>
      <c r="C62" s="1435" t="s">
        <v>516</v>
      </c>
      <c r="D62" s="1436"/>
      <c r="E62" s="1437"/>
      <c r="F62" s="151"/>
      <c r="G62" s="1435" t="s">
        <v>517</v>
      </c>
      <c r="H62" s="1437"/>
      <c r="I62" s="105"/>
      <c r="K62" s="434"/>
      <c r="L62" s="436"/>
      <c r="M62" s="436"/>
      <c r="N62" s="436"/>
      <c r="O62" s="436"/>
      <c r="P62" s="436"/>
      <c r="Q62" s="436"/>
      <c r="R62" s="436"/>
      <c r="S62" s="436"/>
      <c r="T62" s="436"/>
      <c r="U62" s="436"/>
      <c r="V62" s="436"/>
      <c r="W62" s="436"/>
      <c r="X62" s="437"/>
    </row>
    <row r="63" spans="2:24" ht="23" customHeight="1" x14ac:dyDescent="0.15">
      <c r="B63" s="116"/>
      <c r="C63" s="1435" t="s">
        <v>434</v>
      </c>
      <c r="D63" s="1437"/>
      <c r="E63" s="269" t="s">
        <v>470</v>
      </c>
      <c r="F63" s="151"/>
      <c r="G63" s="269" t="s">
        <v>434</v>
      </c>
      <c r="H63" s="254" t="s">
        <v>470</v>
      </c>
      <c r="I63" s="105"/>
      <c r="K63" s="434"/>
      <c r="L63" s="436"/>
      <c r="M63" s="436"/>
      <c r="N63" s="436"/>
      <c r="O63" s="436"/>
      <c r="P63" s="436"/>
      <c r="Q63" s="436"/>
      <c r="R63" s="436"/>
      <c r="S63" s="436"/>
      <c r="T63" s="436"/>
      <c r="U63" s="436"/>
      <c r="V63" s="436"/>
      <c r="W63" s="436"/>
      <c r="X63" s="437"/>
    </row>
    <row r="64" spans="2:24" ht="23" customHeight="1" x14ac:dyDescent="0.15">
      <c r="B64" s="116"/>
      <c r="C64" s="283" t="s">
        <v>556</v>
      </c>
      <c r="D64" s="284"/>
      <c r="E64" s="533"/>
      <c r="F64" s="286"/>
      <c r="G64" s="285" t="str">
        <f>C64</f>
        <v>A.M.C. POLÍGONO INDUSTRIAL DE GÜIMAR</v>
      </c>
      <c r="H64" s="533"/>
      <c r="I64" s="105"/>
      <c r="K64" s="434"/>
      <c r="L64" s="436"/>
      <c r="M64" s="436"/>
      <c r="N64" s="436"/>
      <c r="O64" s="436"/>
      <c r="P64" s="436"/>
      <c r="Q64" s="436"/>
      <c r="R64" s="436"/>
      <c r="S64" s="436"/>
      <c r="T64" s="436"/>
      <c r="U64" s="436"/>
      <c r="V64" s="436"/>
      <c r="W64" s="436"/>
      <c r="X64" s="437"/>
    </row>
    <row r="65" spans="2:24" ht="23" customHeight="1" x14ac:dyDescent="0.15">
      <c r="B65" s="116"/>
      <c r="C65" s="287" t="s">
        <v>557</v>
      </c>
      <c r="D65" s="288"/>
      <c r="E65" s="533"/>
      <c r="F65" s="286"/>
      <c r="G65" s="285" t="str">
        <f t="shared" ref="G65:G68" si="1">C65</f>
        <v>MERCATENERIFE, S.A.</v>
      </c>
      <c r="H65" s="533"/>
      <c r="I65" s="105"/>
      <c r="K65" s="434"/>
      <c r="L65" s="436"/>
      <c r="M65" s="436"/>
      <c r="N65" s="436"/>
      <c r="O65" s="436"/>
      <c r="P65" s="436"/>
      <c r="Q65" s="436"/>
      <c r="R65" s="436"/>
      <c r="S65" s="436"/>
      <c r="T65" s="436"/>
      <c r="U65" s="436"/>
      <c r="V65" s="436"/>
      <c r="W65" s="436"/>
      <c r="X65" s="437"/>
    </row>
    <row r="66" spans="2:24" ht="23" customHeight="1" x14ac:dyDescent="0.15">
      <c r="B66" s="116"/>
      <c r="C66" s="287" t="s">
        <v>558</v>
      </c>
      <c r="D66" s="288"/>
      <c r="E66" s="533"/>
      <c r="F66" s="286"/>
      <c r="G66" s="285" t="str">
        <f t="shared" si="1"/>
        <v>POLÍGONO INDUSTRIAL DE GRANADILLA-PARQUE TECNOLÓGICO DE TENERIFE, S.A.</v>
      </c>
      <c r="H66" s="533"/>
      <c r="I66" s="105"/>
      <c r="K66" s="434"/>
      <c r="L66" s="436"/>
      <c r="M66" s="436"/>
      <c r="N66" s="436"/>
      <c r="O66" s="436"/>
      <c r="P66" s="436"/>
      <c r="Q66" s="436"/>
      <c r="R66" s="436"/>
      <c r="S66" s="436"/>
      <c r="T66" s="436"/>
      <c r="U66" s="436"/>
      <c r="V66" s="436"/>
      <c r="W66" s="436"/>
      <c r="X66" s="437"/>
    </row>
    <row r="67" spans="2:24" ht="23" customHeight="1" x14ac:dyDescent="0.15">
      <c r="B67" s="116"/>
      <c r="C67" s="287" t="s">
        <v>559</v>
      </c>
      <c r="D67" s="288"/>
      <c r="E67" s="533"/>
      <c r="F67" s="286"/>
      <c r="G67" s="285" t="str">
        <f t="shared" si="1"/>
        <v>PARQUES EÓLICOS DE GRANADILLA, A.I.E.</v>
      </c>
      <c r="H67" s="533"/>
      <c r="I67" s="105"/>
      <c r="K67" s="434"/>
      <c r="L67" s="436"/>
      <c r="M67" s="436"/>
      <c r="N67" s="436"/>
      <c r="O67" s="436"/>
      <c r="P67" s="436"/>
      <c r="Q67" s="436"/>
      <c r="R67" s="436"/>
      <c r="S67" s="436"/>
      <c r="T67" s="436"/>
      <c r="U67" s="436"/>
      <c r="V67" s="436"/>
      <c r="W67" s="436"/>
      <c r="X67" s="437"/>
    </row>
    <row r="68" spans="2:24" ht="23" customHeight="1" x14ac:dyDescent="0.15">
      <c r="B68" s="116"/>
      <c r="C68" s="287" t="s">
        <v>560</v>
      </c>
      <c r="D68" s="288"/>
      <c r="E68" s="533"/>
      <c r="F68" s="286"/>
      <c r="G68" s="285" t="str">
        <f t="shared" si="1"/>
        <v>EÓLICAS DE TENERIFE, A.I.E.</v>
      </c>
      <c r="H68" s="533"/>
      <c r="I68" s="105"/>
      <c r="K68" s="434"/>
      <c r="L68" s="436"/>
      <c r="M68" s="436"/>
      <c r="N68" s="436"/>
      <c r="O68" s="436"/>
      <c r="P68" s="436"/>
      <c r="Q68" s="436"/>
      <c r="R68" s="436"/>
      <c r="S68" s="436"/>
      <c r="T68" s="436"/>
      <c r="U68" s="436"/>
      <c r="V68" s="436"/>
      <c r="W68" s="436"/>
      <c r="X68" s="437"/>
    </row>
    <row r="69" spans="2:24" s="189" customFormat="1" ht="23" customHeight="1" thickBot="1" x14ac:dyDescent="0.25">
      <c r="B69" s="187"/>
      <c r="C69" s="1504" t="s">
        <v>471</v>
      </c>
      <c r="D69" s="1505"/>
      <c r="E69" s="175">
        <f>SUM(E64:E68)</f>
        <v>0</v>
      </c>
      <c r="F69" s="151"/>
      <c r="G69" s="220" t="s">
        <v>471</v>
      </c>
      <c r="H69" s="175">
        <f>SUM(H64:H68)</f>
        <v>0</v>
      </c>
      <c r="I69" s="188"/>
      <c r="K69" s="434"/>
      <c r="L69" s="436"/>
      <c r="M69" s="436"/>
      <c r="N69" s="436"/>
      <c r="O69" s="436"/>
      <c r="P69" s="436"/>
      <c r="Q69" s="436"/>
      <c r="R69" s="436"/>
      <c r="S69" s="436"/>
      <c r="T69" s="436"/>
      <c r="U69" s="436"/>
      <c r="V69" s="436"/>
      <c r="W69" s="436"/>
      <c r="X69" s="437"/>
    </row>
    <row r="70" spans="2:24" ht="23" customHeight="1" x14ac:dyDescent="0.15">
      <c r="B70" s="116"/>
      <c r="C70" s="216"/>
      <c r="D70" s="216"/>
      <c r="E70" s="217"/>
      <c r="F70" s="95"/>
      <c r="G70" s="217"/>
      <c r="H70" s="95"/>
      <c r="I70" s="105"/>
      <c r="K70" s="434"/>
      <c r="L70" s="436"/>
      <c r="M70" s="436"/>
      <c r="N70" s="436"/>
      <c r="O70" s="436"/>
      <c r="P70" s="436"/>
      <c r="Q70" s="436"/>
      <c r="R70" s="436"/>
      <c r="S70" s="436"/>
      <c r="T70" s="436"/>
      <c r="U70" s="436"/>
      <c r="V70" s="436"/>
      <c r="W70" s="436"/>
      <c r="X70" s="437"/>
    </row>
    <row r="71" spans="2:24" ht="23" customHeight="1" x14ac:dyDescent="0.15">
      <c r="B71" s="116"/>
      <c r="C71" s="171" t="s">
        <v>405</v>
      </c>
      <c r="D71" s="216"/>
      <c r="E71" s="217"/>
      <c r="F71" s="95"/>
      <c r="G71" s="217"/>
      <c r="H71" s="95"/>
      <c r="I71" s="105"/>
      <c r="K71" s="434"/>
      <c r="L71" s="436"/>
      <c r="M71" s="436"/>
      <c r="N71" s="436"/>
      <c r="O71" s="436"/>
      <c r="P71" s="436"/>
      <c r="Q71" s="436"/>
      <c r="R71" s="436"/>
      <c r="S71" s="436"/>
      <c r="T71" s="436"/>
      <c r="U71" s="436"/>
      <c r="V71" s="436"/>
      <c r="W71" s="436"/>
      <c r="X71" s="437"/>
    </row>
    <row r="72" spans="2:24" ht="16.25" customHeight="1" x14ac:dyDescent="0.15">
      <c r="B72" s="116"/>
      <c r="C72" s="169" t="s">
        <v>561</v>
      </c>
      <c r="D72" s="216"/>
      <c r="E72" s="217"/>
      <c r="F72" s="95"/>
      <c r="G72" s="217"/>
      <c r="H72" s="95"/>
      <c r="I72" s="105"/>
      <c r="K72" s="434"/>
      <c r="L72" s="436"/>
      <c r="M72" s="436"/>
      <c r="N72" s="436"/>
      <c r="O72" s="436"/>
      <c r="P72" s="436"/>
      <c r="Q72" s="436"/>
      <c r="R72" s="436"/>
      <c r="S72" s="436"/>
      <c r="T72" s="436"/>
      <c r="U72" s="436"/>
      <c r="V72" s="436"/>
      <c r="W72" s="436"/>
      <c r="X72" s="437"/>
    </row>
    <row r="73" spans="2:24" ht="16.25" customHeight="1" x14ac:dyDescent="0.15">
      <c r="B73" s="116"/>
      <c r="C73" s="168"/>
      <c r="D73" s="216"/>
      <c r="E73" s="217"/>
      <c r="F73" s="217"/>
      <c r="G73" s="217"/>
      <c r="H73" s="95"/>
      <c r="I73" s="105"/>
      <c r="K73" s="434"/>
      <c r="L73" s="436"/>
      <c r="M73" s="436"/>
      <c r="N73" s="436"/>
      <c r="O73" s="436"/>
      <c r="P73" s="436"/>
      <c r="Q73" s="436"/>
      <c r="R73" s="436"/>
      <c r="S73" s="436"/>
      <c r="T73" s="436"/>
      <c r="U73" s="436"/>
      <c r="V73" s="436"/>
      <c r="W73" s="436"/>
      <c r="X73" s="437"/>
    </row>
    <row r="74" spans="2:24" ht="16.25" customHeight="1" x14ac:dyDescent="0.15">
      <c r="B74" s="116"/>
      <c r="C74" s="255"/>
      <c r="D74" s="169"/>
      <c r="E74" s="170"/>
      <c r="F74" s="170"/>
      <c r="G74" s="170"/>
      <c r="H74" s="95"/>
      <c r="I74" s="105"/>
      <c r="K74" s="434"/>
      <c r="L74" s="436"/>
      <c r="M74" s="436"/>
      <c r="N74" s="436"/>
      <c r="O74" s="436"/>
      <c r="P74" s="436"/>
      <c r="Q74" s="436"/>
      <c r="R74" s="436"/>
      <c r="S74" s="436"/>
      <c r="T74" s="436"/>
      <c r="U74" s="436"/>
      <c r="V74" s="436"/>
      <c r="W74" s="436"/>
      <c r="X74" s="437"/>
    </row>
    <row r="75" spans="2:24" ht="23" customHeight="1" thickBot="1" x14ac:dyDescent="0.2">
      <c r="B75" s="120"/>
      <c r="C75" s="1375"/>
      <c r="D75" s="1375"/>
      <c r="E75" s="56"/>
      <c r="F75" s="56"/>
      <c r="G75" s="56"/>
      <c r="H75" s="121"/>
      <c r="I75" s="122"/>
      <c r="K75" s="428"/>
      <c r="L75" s="429"/>
      <c r="M75" s="429"/>
      <c r="N75" s="429"/>
      <c r="O75" s="429"/>
      <c r="P75" s="429"/>
      <c r="Q75" s="429"/>
      <c r="R75" s="429"/>
      <c r="S75" s="429"/>
      <c r="T75" s="429"/>
      <c r="U75" s="429"/>
      <c r="V75" s="429"/>
      <c r="W75" s="429"/>
      <c r="X75" s="430"/>
    </row>
    <row r="76" spans="2:24" ht="23" customHeight="1" x14ac:dyDescent="0.15">
      <c r="C76" s="103"/>
      <c r="D76" s="103"/>
      <c r="E76" s="104"/>
      <c r="F76" s="104"/>
      <c r="G76" s="104"/>
      <c r="H76" s="104"/>
      <c r="J76" s="96" t="s">
        <v>936</v>
      </c>
    </row>
    <row r="77" spans="2:24" ht="13" x14ac:dyDescent="0.15">
      <c r="C77" s="123" t="s">
        <v>70</v>
      </c>
      <c r="D77" s="103"/>
      <c r="E77" s="104"/>
      <c r="F77" s="104"/>
      <c r="G77" s="104"/>
      <c r="H77" s="94" t="s">
        <v>510</v>
      </c>
    </row>
    <row r="78" spans="2:24" ht="13" x14ac:dyDescent="0.15">
      <c r="C78" s="124" t="s">
        <v>71</v>
      </c>
      <c r="D78" s="103"/>
      <c r="E78" s="104"/>
      <c r="F78" s="104"/>
      <c r="G78" s="104"/>
      <c r="H78" s="104"/>
    </row>
    <row r="79" spans="2:24" ht="13" x14ac:dyDescent="0.15">
      <c r="C79" s="124" t="s">
        <v>72</v>
      </c>
      <c r="D79" s="103"/>
      <c r="E79" s="104"/>
      <c r="F79" s="104"/>
      <c r="G79" s="104"/>
      <c r="H79" s="104"/>
    </row>
    <row r="80" spans="2:24" ht="13" x14ac:dyDescent="0.15">
      <c r="C80" s="124" t="s">
        <v>73</v>
      </c>
      <c r="D80" s="103"/>
      <c r="E80" s="104"/>
      <c r="F80" s="104"/>
      <c r="G80" s="104"/>
      <c r="H80" s="104"/>
    </row>
    <row r="81" spans="3:8" ht="13" x14ac:dyDescent="0.15">
      <c r="C81" s="124" t="s">
        <v>74</v>
      </c>
      <c r="D81" s="103"/>
      <c r="E81" s="104"/>
      <c r="F81" s="104"/>
      <c r="G81" s="104"/>
      <c r="H81" s="104"/>
    </row>
    <row r="82" spans="3:8" ht="23" customHeight="1" x14ac:dyDescent="0.15">
      <c r="C82" s="103"/>
      <c r="D82" s="103"/>
      <c r="E82" s="104"/>
      <c r="F82" s="104"/>
      <c r="G82" s="104"/>
      <c r="H82" s="104"/>
    </row>
    <row r="83" spans="3:8" ht="23" customHeight="1" x14ac:dyDescent="0.15">
      <c r="C83" s="103"/>
      <c r="D83" s="103"/>
      <c r="E83" s="104"/>
      <c r="F83" s="104"/>
      <c r="G83" s="104"/>
      <c r="H83" s="104"/>
    </row>
    <row r="84" spans="3:8" ht="23" customHeight="1" x14ac:dyDescent="0.15">
      <c r="C84" s="103"/>
      <c r="D84" s="103"/>
      <c r="E84" s="104"/>
      <c r="F84" s="104"/>
      <c r="G84" s="104"/>
      <c r="H84" s="104"/>
    </row>
    <row r="85" spans="3:8" ht="23" customHeight="1" x14ac:dyDescent="0.15">
      <c r="C85" s="103"/>
      <c r="D85" s="103"/>
      <c r="E85" s="104"/>
      <c r="F85" s="104"/>
      <c r="G85" s="104"/>
      <c r="H85" s="104"/>
    </row>
    <row r="86" spans="3:8" ht="23" customHeight="1" x14ac:dyDescent="0.15">
      <c r="E86" s="104"/>
      <c r="F86" s="104"/>
      <c r="G86" s="104"/>
      <c r="H86" s="104"/>
    </row>
  </sheetData>
  <sheetProtection sheet="1" objects="1" scenarios="1"/>
  <mergeCells count="15">
    <mergeCell ref="H6:H7"/>
    <mergeCell ref="D9:H9"/>
    <mergeCell ref="C12:D12"/>
    <mergeCell ref="C69:D69"/>
    <mergeCell ref="C75:D75"/>
    <mergeCell ref="C13:H13"/>
    <mergeCell ref="C15:E15"/>
    <mergeCell ref="G15:H15"/>
    <mergeCell ref="C16:D16"/>
    <mergeCell ref="C56:D56"/>
    <mergeCell ref="C60:H60"/>
    <mergeCell ref="C62:E62"/>
    <mergeCell ref="G62:H62"/>
    <mergeCell ref="C63:D63"/>
    <mergeCell ref="C58:H58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4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75"/>
  <sheetViews>
    <sheetView zoomScale="78" zoomScaleNormal="78" workbookViewId="0">
      <pane ySplit="14" topLeftCell="A15" activePane="bottomLeft" state="frozen"/>
      <selection pane="bottomLeft" activeCell="E173" sqref="E173"/>
    </sheetView>
  </sheetViews>
  <sheetFormatPr baseColWidth="10" defaultColWidth="10.7109375" defaultRowHeight="23" customHeight="1" x14ac:dyDescent="0.2"/>
  <cols>
    <col min="1" max="1" width="3" style="280" customWidth="1"/>
    <col min="2" max="2" width="3.28515625" style="280" customWidth="1"/>
    <col min="3" max="3" width="12.28515625" style="280" customWidth="1"/>
    <col min="4" max="4" width="73.7109375" style="280" customWidth="1"/>
    <col min="5" max="5" width="42.42578125" style="280" customWidth="1"/>
    <col min="6" max="7" width="39.28515625" style="280" customWidth="1"/>
    <col min="8" max="8" width="3.5703125" style="280" customWidth="1"/>
    <col min="9" max="9" width="10.7109375" style="280"/>
    <col min="10" max="12" width="4.28515625" style="280" customWidth="1"/>
    <col min="13" max="13" width="11.5703125" style="280" bestFit="1" customWidth="1"/>
    <col min="14" max="16384" width="10.7109375" style="280"/>
  </cols>
  <sheetData>
    <row r="2" spans="2:13" ht="23" customHeight="1" x14ac:dyDescent="0.2">
      <c r="D2" s="311" t="str">
        <f>_GENERAL!D2</f>
        <v>Área de Presidencia, Hacienda y Modernización</v>
      </c>
    </row>
    <row r="3" spans="2:13" ht="23" customHeight="1" x14ac:dyDescent="0.2">
      <c r="D3" s="311" t="str">
        <f>_GENERAL!D3</f>
        <v>Dirección Insular de Hacienda</v>
      </c>
    </row>
    <row r="4" spans="2:13" ht="23" customHeight="1" thickBot="1" x14ac:dyDescent="0.25"/>
    <row r="5" spans="2:13" ht="9" customHeight="1" x14ac:dyDescent="0.2">
      <c r="B5" s="881" t="s">
        <v>776</v>
      </c>
      <c r="C5" s="362"/>
      <c r="D5" s="362"/>
      <c r="E5" s="362"/>
      <c r="F5" s="362"/>
      <c r="G5" s="362"/>
      <c r="H5" s="363"/>
    </row>
    <row r="6" spans="2:13" ht="30" customHeight="1" x14ac:dyDescent="0.25">
      <c r="B6" s="364"/>
      <c r="C6" s="1" t="s">
        <v>0</v>
      </c>
      <c r="D6" s="22"/>
      <c r="E6" s="22"/>
      <c r="F6" s="361"/>
      <c r="G6" s="1362">
        <f>ejercicio</f>
        <v>2020</v>
      </c>
      <c r="H6" s="365"/>
    </row>
    <row r="7" spans="2:13" ht="30" customHeight="1" x14ac:dyDescent="0.2">
      <c r="B7" s="364"/>
      <c r="C7" s="1" t="s">
        <v>1</v>
      </c>
      <c r="D7" s="361"/>
      <c r="E7" s="361"/>
      <c r="F7" s="361"/>
      <c r="G7" s="1362">
        <v>2018</v>
      </c>
      <c r="H7" s="365"/>
    </row>
    <row r="8" spans="2:13" ht="30" customHeight="1" x14ac:dyDescent="0.2">
      <c r="B8" s="364"/>
      <c r="C8" s="361"/>
      <c r="D8" s="361"/>
      <c r="E8" s="361"/>
      <c r="F8" s="361"/>
      <c r="G8" s="16"/>
      <c r="H8" s="365"/>
      <c r="J8" s="366"/>
    </row>
    <row r="9" spans="2:13" ht="30" customHeight="1" x14ac:dyDescent="0.2">
      <c r="B9" s="364"/>
      <c r="C9" s="38" t="s">
        <v>2</v>
      </c>
      <c r="D9" s="1367" t="str">
        <f>Entidad</f>
        <v>TEA Tenerife Espacio de las Artes, Entidad Pública Empresarial Local</v>
      </c>
      <c r="E9" s="1367"/>
      <c r="F9" s="1367"/>
      <c r="G9" s="1367"/>
      <c r="H9" s="365"/>
    </row>
    <row r="10" spans="2:13" ht="7.25" customHeight="1" x14ac:dyDescent="0.2">
      <c r="B10" s="364"/>
      <c r="C10" s="361"/>
      <c r="D10" s="361"/>
      <c r="E10" s="361"/>
      <c r="F10" s="361"/>
      <c r="G10" s="367"/>
      <c r="H10" s="365"/>
    </row>
    <row r="11" spans="2:13" s="12" customFormat="1" ht="30" customHeight="1" x14ac:dyDescent="0.2">
      <c r="B11" s="23"/>
      <c r="C11" s="879" t="s">
        <v>775</v>
      </c>
      <c r="D11" s="880"/>
      <c r="E11" s="880"/>
      <c r="F11" s="880"/>
      <c r="G11" s="880"/>
      <c r="H11" s="24"/>
    </row>
    <row r="12" spans="2:13" ht="23" customHeight="1" x14ac:dyDescent="0.2">
      <c r="B12" s="364"/>
      <c r="C12" s="361"/>
      <c r="D12" s="361"/>
      <c r="E12" s="361"/>
      <c r="F12" s="361"/>
      <c r="G12" s="361"/>
      <c r="H12" s="365"/>
    </row>
    <row r="13" spans="2:13" ht="23" customHeight="1" x14ac:dyDescent="0.2">
      <c r="B13" s="364"/>
      <c r="C13" s="361"/>
      <c r="D13" s="361"/>
      <c r="E13" s="855" t="s">
        <v>744</v>
      </c>
      <c r="F13" s="855" t="s">
        <v>743</v>
      </c>
      <c r="G13" s="855" t="s">
        <v>745</v>
      </c>
      <c r="H13" s="365"/>
    </row>
    <row r="14" spans="2:13" ht="23" customHeight="1" x14ac:dyDescent="0.2">
      <c r="B14" s="364"/>
      <c r="D14" s="361"/>
      <c r="E14" s="856">
        <f>ejercicio-2</f>
        <v>2018</v>
      </c>
      <c r="F14" s="856">
        <f>ejercicio-1</f>
        <v>2019</v>
      </c>
      <c r="G14" s="856">
        <f>ejercicio</f>
        <v>2020</v>
      </c>
      <c r="H14" s="365"/>
    </row>
    <row r="15" spans="2:13" s="861" customFormat="1" ht="30" customHeight="1" x14ac:dyDescent="0.2">
      <c r="B15" s="857"/>
      <c r="C15" s="858" t="s">
        <v>647</v>
      </c>
      <c r="D15" s="858"/>
      <c r="E15" s="859" t="str">
        <f>IF(ROUND('FC-4_ACTIVO'!E94-'FC-4_PASIVO'!E86,2)=0,"Ok","Mal, revisa FC-4")</f>
        <v>Ok</v>
      </c>
      <c r="F15" s="859" t="str">
        <f>IF(ROUND('FC-4_ACTIVO'!F94-'FC-4_PASIVO'!F86,2)=0,"Ok","Mal, revisa FC-4")</f>
        <v>Ok</v>
      </c>
      <c r="G15" s="859" t="str">
        <f>IF(ROUND('FC-4_ACTIVO'!G94-'FC-4_PASIVO'!G86,2)=0,"Ok","Mal, revisa FC-4")</f>
        <v>Ok</v>
      </c>
      <c r="H15" s="860"/>
      <c r="J15" s="862">
        <f>IF(E15="Ok",0,1)</f>
        <v>0</v>
      </c>
      <c r="K15" s="862">
        <f>IF(F15="Ok",0,1)</f>
        <v>0</v>
      </c>
      <c r="L15" s="862">
        <f>IF(G15="Ok",0,1)</f>
        <v>0</v>
      </c>
      <c r="M15" s="862">
        <f>SUM(J15:L15)</f>
        <v>0</v>
      </c>
    </row>
    <row r="16" spans="2:13" s="861" customFormat="1" ht="30" customHeight="1" x14ac:dyDescent="0.2">
      <c r="B16" s="857"/>
      <c r="C16" s="863" t="s">
        <v>649</v>
      </c>
      <c r="D16" s="863"/>
      <c r="E16" s="864" t="str">
        <f>IF(ROUND(('FC-3_CPyG'!E84-'FC-4_PASIVO'!E32),2)=0,"Ok","Mal, revisa FC-3 y FC-4")</f>
        <v>Ok</v>
      </c>
      <c r="F16" s="864" t="str">
        <f>IF(ROUND(('FC-3_CPyG'!F84-'FC-4_PASIVO'!F32),2)=0,"Ok","Mal, revisa FC-3 y FC-4")</f>
        <v>Ok</v>
      </c>
      <c r="G16" s="864" t="str">
        <f>IF(ROUND(('FC-3_CPyG'!G84-'FC-4_PASIVO'!G32),2)=0,"Ok","Mal, revisa FC-3 y FC-4")</f>
        <v>Ok</v>
      </c>
      <c r="H16" s="860"/>
      <c r="J16" s="862">
        <f t="shared" ref="J16:J21" si="0">IF(E16="Ok",0,1)</f>
        <v>0</v>
      </c>
      <c r="K16" s="862">
        <f t="shared" ref="K16:K21" si="1">IF(F16="Ok",0,1)</f>
        <v>0</v>
      </c>
      <c r="L16" s="862">
        <f t="shared" ref="L16:L32" si="2">IF(G16="Ok",0,1)</f>
        <v>0</v>
      </c>
      <c r="M16" s="862">
        <f t="shared" ref="M16:M61" si="3">SUM(J16:L16)</f>
        <v>0</v>
      </c>
    </row>
    <row r="17" spans="2:13" s="861" customFormat="1" ht="30" customHeight="1" x14ac:dyDescent="0.2">
      <c r="B17" s="857"/>
      <c r="C17" s="863" t="s">
        <v>650</v>
      </c>
      <c r="D17" s="863"/>
      <c r="E17" s="864" t="str">
        <f>IF(_GENERAL!D14="Normal",IF(ROUND('FC-5_EFE'!F92,2)=ROUND(('FC-5_EFE'!F95-'FC-5_EFE'!F94),2),"Ok","Mal, revisa FC-5"),"No aplica")</f>
        <v>No aplica</v>
      </c>
      <c r="F17" s="864" t="str">
        <f>IF(_GENERAL!D14="Normal",IF(ROUND('FC-5_EFE'!G92,2)=ROUND(('FC-5_EFE'!G95-'FC-5_EFE'!G94),2),"Ok","Mal, revisa FC-5"),"No aplica")</f>
        <v>No aplica</v>
      </c>
      <c r="G17" s="864" t="str">
        <f>IF(_GENERAL!D14="Normal",IF(ROUND('FC-5_EFE'!H92,2)=ROUND(('FC-5_EFE'!H95-'FC-5_EFE'!H94),2),"Ok","Mal, revisa FC-5"),"No aplica")</f>
        <v>No aplica</v>
      </c>
      <c r="H17" s="860"/>
      <c r="J17" s="862">
        <f t="shared" si="0"/>
        <v>1</v>
      </c>
      <c r="K17" s="862">
        <f t="shared" si="1"/>
        <v>1</v>
      </c>
      <c r="L17" s="862">
        <f t="shared" si="2"/>
        <v>1</v>
      </c>
      <c r="M17" s="862">
        <f t="shared" si="3"/>
        <v>3</v>
      </c>
    </row>
    <row r="18" spans="2:13" s="861" customFormat="1" ht="30" customHeight="1" x14ac:dyDescent="0.2">
      <c r="B18" s="857"/>
      <c r="C18" s="865" t="s">
        <v>710</v>
      </c>
      <c r="D18" s="863"/>
      <c r="E18" s="864" t="str">
        <f>IF(ROUND('FC-3_CPyG'!E16-'FC-3_1_INF_ADIC_CPyG'!E43,2)=0,"Ok","Mal, revisa datos en FC-3 PyG y FC3.1")</f>
        <v>Ok</v>
      </c>
      <c r="F18" s="864" t="str">
        <f>IF(ROUND('FC-3_CPyG'!F16-'FC-3_1_INF_ADIC_CPyG'!H43,2)=0,"Ok","Mal, revisa datos en FC-3 PyG y FC3.1")</f>
        <v>Ok</v>
      </c>
      <c r="G18" s="864" t="str">
        <f>IF(ROUND('FC-3_CPyG'!G16-'FC-3_1_INF_ADIC_CPyG'!K43,2)=0,"Ok","Mal, revisa datos en FC-3 PyG y FC3.1")</f>
        <v>Ok</v>
      </c>
      <c r="H18" s="860"/>
      <c r="J18" s="862">
        <f t="shared" si="0"/>
        <v>0</v>
      </c>
      <c r="K18" s="862">
        <f t="shared" si="1"/>
        <v>0</v>
      </c>
      <c r="L18" s="862">
        <f t="shared" si="2"/>
        <v>0</v>
      </c>
      <c r="M18" s="862">
        <f t="shared" si="3"/>
        <v>0</v>
      </c>
    </row>
    <row r="19" spans="2:13" s="861" customFormat="1" ht="30" customHeight="1" x14ac:dyDescent="0.2">
      <c r="B19" s="857"/>
      <c r="C19" s="865" t="s">
        <v>713</v>
      </c>
      <c r="D19" s="863"/>
      <c r="E19" s="864" t="str">
        <f>IF(ROUND('FC-3_CPyG'!E48-'FC-3_1_INF_ADIC_CPyG'!E47-'FC-3_1_INF_ADIC_CPyG'!E56,2)=0,"Ok","Mal, revisa datos en FC-3 CPYG y FC-3.1")</f>
        <v>Ok</v>
      </c>
      <c r="F19" s="864" t="str">
        <f>IF(ROUND('FC-3_CPyG'!F48-'FC-3_1_INF_ADIC_CPyG'!F47-'FC-3_1_INF_ADIC_CPyG'!F56,2)=0,"Ok","Mal, revisa datos en FC-3 CPYG y FC-3.1")</f>
        <v>Ok</v>
      </c>
      <c r="G19" s="864" t="str">
        <f>IF(ROUND('FC-3_CPyG'!G48-'FC-3_1_INF_ADIC_CPyG'!G47-'FC-3_1_INF_ADIC_CPyG'!G56,2)=0,"Ok","Mal, revisa datos en FC-3 CPYG y FC-3.1")</f>
        <v>Ok</v>
      </c>
      <c r="H19" s="860"/>
      <c r="J19" s="862">
        <f t="shared" si="0"/>
        <v>0</v>
      </c>
      <c r="K19" s="862">
        <f t="shared" si="1"/>
        <v>0</v>
      </c>
      <c r="L19" s="862">
        <f t="shared" si="2"/>
        <v>0</v>
      </c>
      <c r="M19" s="862">
        <f t="shared" si="3"/>
        <v>0</v>
      </c>
    </row>
    <row r="20" spans="2:13" s="861" customFormat="1" ht="30" customHeight="1" x14ac:dyDescent="0.2">
      <c r="B20" s="857"/>
      <c r="C20" s="865" t="s">
        <v>714</v>
      </c>
      <c r="D20" s="863"/>
      <c r="E20" s="864" t="str">
        <f>IF(ROUND('FC-3_CPyG'!E28-'FC-3_1_INF_ADIC_CPyG'!E73,2)=0,"Ok","Mal, revísa datos en FC-3 y FC-3.1")</f>
        <v>Ok</v>
      </c>
      <c r="F20" s="864" t="str">
        <f>IF(ROUND('FC-3_CPyG'!F28-'FC-3_1_INF_ADIC_CPyG'!F73,2)=0,"Ok","Mal, revísa datos en FC-3 y FC-3.1")</f>
        <v>Ok</v>
      </c>
      <c r="G20" s="864" t="str">
        <f>IF(ROUND('FC-3_CPyG'!G28-'FC-3_1_INF_ADIC_CPyG'!G73,2)=0,"Ok","Mal, revísa datos en FC-3 y FC-3.1")</f>
        <v>Ok</v>
      </c>
      <c r="H20" s="860"/>
      <c r="J20" s="862">
        <f t="shared" si="0"/>
        <v>0</v>
      </c>
      <c r="K20" s="862">
        <f t="shared" si="1"/>
        <v>0</v>
      </c>
      <c r="L20" s="862">
        <f t="shared" si="2"/>
        <v>0</v>
      </c>
      <c r="M20" s="862">
        <f t="shared" si="3"/>
        <v>0</v>
      </c>
    </row>
    <row r="21" spans="2:13" s="861" customFormat="1" ht="30" customHeight="1" x14ac:dyDescent="0.2">
      <c r="B21" s="857"/>
      <c r="C21" s="865" t="s">
        <v>715</v>
      </c>
      <c r="D21" s="863"/>
      <c r="E21" s="864" t="str">
        <f>IF(ROUND('FC-3_CPyG'!E29-'FC-3_1_INF_ADIC_CPyG'!E77,2)=0,"Ok","Mal, revisa datos en FC-3 CPyG y FC-3.1")</f>
        <v>Ok</v>
      </c>
      <c r="F21" s="864" t="str">
        <f>IF(ROUND('FC-3_CPyG'!F29-'FC-3_1_INF_ADIC_CPyG'!F77,2)=0,"Ok","Mal, revisa datos en FC-3 CPyG y FC-3.1")</f>
        <v>Ok</v>
      </c>
      <c r="G21" s="864" t="str">
        <f>IF(ROUND('FC-3_CPyG'!G29-'FC-3_1_INF_ADIC_CPyG'!G77,2)=0,"Ok","Mal, revisa datos en FC-3 CPyG y FC-3.1")</f>
        <v>Ok</v>
      </c>
      <c r="H21" s="860"/>
      <c r="J21" s="862">
        <f t="shared" si="0"/>
        <v>0</v>
      </c>
      <c r="K21" s="862">
        <f t="shared" si="1"/>
        <v>0</v>
      </c>
      <c r="L21" s="862">
        <f t="shared" si="2"/>
        <v>0</v>
      </c>
      <c r="M21" s="862">
        <f t="shared" si="3"/>
        <v>0</v>
      </c>
    </row>
    <row r="22" spans="2:13" s="861" customFormat="1" ht="30" customHeight="1" x14ac:dyDescent="0.2">
      <c r="B22" s="857"/>
      <c r="C22" s="910" t="s">
        <v>968</v>
      </c>
      <c r="D22" s="863"/>
      <c r="E22" s="866"/>
      <c r="F22" s="864" t="str">
        <f>IF(ROUND('FC-4_PASIVO'!F18-'FC-4_1_MOV_FP'!L17,2)=0,"Ok","Mal, revisa FC-4 y FC-4.1 MOV. F.P.")</f>
        <v>Ok</v>
      </c>
      <c r="G22" s="864" t="str">
        <f>IF(ROUND('FC-4_PASIVO'!G18-'FC-4_1_MOV_FP'!L39,2)=0,"Ok","Mal, revisa FC-4 y FC-4.1 MOV. F.P.")</f>
        <v>Ok</v>
      </c>
      <c r="H22" s="860"/>
      <c r="J22" s="862"/>
      <c r="K22" s="862"/>
      <c r="L22" s="862"/>
      <c r="M22" s="862"/>
    </row>
    <row r="23" spans="2:13" s="861" customFormat="1" ht="30" customHeight="1" x14ac:dyDescent="0.2">
      <c r="B23" s="857"/>
      <c r="C23" s="910" t="s">
        <v>969</v>
      </c>
      <c r="D23" s="863"/>
      <c r="E23" s="866"/>
      <c r="F23" s="864" t="str">
        <f>IF(ROUND('FC-4_PASIVO'!F21-'FC-4_1_MOV_FP'!L20,2)=0,"Ok","Mal, revisa FC-4 y FC-4.1 MOV. F.P.")</f>
        <v>Ok</v>
      </c>
      <c r="G23" s="864" t="str">
        <f>IF(ROUND('FC-4_PASIVO'!G21-'FC-4_1_MOV_FP'!L42,2)=0,"Ok","Mal, revisa FC-4 y FC-4.1 MOV. F.P.")</f>
        <v>Ok</v>
      </c>
      <c r="H23" s="860"/>
      <c r="J23" s="862"/>
      <c r="K23" s="862"/>
      <c r="L23" s="862"/>
      <c r="M23" s="862"/>
    </row>
    <row r="24" spans="2:13" s="861" customFormat="1" ht="30" customHeight="1" x14ac:dyDescent="0.2">
      <c r="B24" s="857"/>
      <c r="C24" s="910" t="s">
        <v>970</v>
      </c>
      <c r="D24" s="863"/>
      <c r="E24" s="866"/>
      <c r="F24" s="864" t="str">
        <f>IF(ROUND('FC-4_PASIVO'!F22-'FC-4_1_MOV_FP'!L21,2)=0,"Ok","Mal, revisa FC-4 y FC-4.1 MOV. F.P.")</f>
        <v>Ok</v>
      </c>
      <c r="G24" s="864" t="str">
        <f>IF(ROUND('FC-4_PASIVO'!G22-'FC-4_1_MOV_FP'!L43,2)=0,"Ok","Mal, revisa FC-4 y FC-4.1 MOV. F.P.")</f>
        <v>Ok</v>
      </c>
      <c r="H24" s="860"/>
      <c r="J24" s="862"/>
      <c r="K24" s="862"/>
      <c r="L24" s="862"/>
      <c r="M24" s="862"/>
    </row>
    <row r="25" spans="2:13" s="861" customFormat="1" ht="30" customHeight="1" x14ac:dyDescent="0.2">
      <c r="B25" s="857"/>
      <c r="C25" s="910" t="s">
        <v>971</v>
      </c>
      <c r="D25" s="863"/>
      <c r="E25" s="866"/>
      <c r="F25" s="864" t="str">
        <f>IF(ROUND('FC-4_PASIVO'!F27-'FC-4_1_MOV_FP'!L26,2)=0,"Ok","Mal, revisa FC-4 y FC-4.1 MOV. F.P.")</f>
        <v>Ok</v>
      </c>
      <c r="G25" s="864" t="str">
        <f>IF(ROUND('FC-4_PASIVO'!G27-'FC-4_1_MOV_FP'!L48,2)=0,"Ok","Mal, revisa FC-4 y FC-4.1 MOV. F.P.")</f>
        <v>Ok</v>
      </c>
      <c r="H25" s="860"/>
      <c r="J25" s="862"/>
      <c r="K25" s="862"/>
      <c r="L25" s="862"/>
      <c r="M25" s="862"/>
    </row>
    <row r="26" spans="2:13" s="861" customFormat="1" ht="30" customHeight="1" x14ac:dyDescent="0.2">
      <c r="B26" s="857"/>
      <c r="C26" s="910" t="s">
        <v>972</v>
      </c>
      <c r="D26" s="863"/>
      <c r="E26" s="866"/>
      <c r="F26" s="864" t="str">
        <f>IF(ROUND('FC-4_PASIVO'!F28-'FC-4_1_MOV_FP'!L27,2)=0,"Ok","Mal, revisa FC-4 y FC-4.1 MOV. F.P.")</f>
        <v>Ok</v>
      </c>
      <c r="G26" s="864" t="str">
        <f>IF(ROUND('FC-4_PASIVO'!G28-'FC-4_1_MOV_FP'!L49,2)=0,"Ok","Mal, revisa FC-4 y FC-4.1 MOV. F.P.")</f>
        <v>Ok</v>
      </c>
      <c r="H26" s="860"/>
      <c r="J26" s="862"/>
      <c r="K26" s="862"/>
      <c r="L26" s="862"/>
      <c r="M26" s="862"/>
    </row>
    <row r="27" spans="2:13" s="861" customFormat="1" ht="30" customHeight="1" x14ac:dyDescent="0.2">
      <c r="B27" s="857"/>
      <c r="C27" s="910" t="s">
        <v>973</v>
      </c>
      <c r="D27" s="863"/>
      <c r="E27" s="866"/>
      <c r="F27" s="864" t="str">
        <f>IF(ROUND('FC-4_PASIVO'!F31-'FC-4_1_MOV_FP'!L30,2)=0,"Ok","Mal, revisa FC-4 y FC-4.1 MOV. F.P.")</f>
        <v>Ok</v>
      </c>
      <c r="G27" s="864" t="str">
        <f>IF(ROUND('FC-4_PASIVO'!G31-'FC-4_1_MOV_FP'!L52,2)=0,"Ok","Mal, revisa FC-4 y FC-4.1 MOV. F.P.")</f>
        <v>Ok</v>
      </c>
      <c r="H27" s="860"/>
      <c r="J27" s="862"/>
      <c r="K27" s="862"/>
      <c r="L27" s="862"/>
      <c r="M27" s="862"/>
    </row>
    <row r="28" spans="2:13" s="861" customFormat="1" ht="30" customHeight="1" x14ac:dyDescent="0.2">
      <c r="B28" s="857"/>
      <c r="C28" s="910" t="s">
        <v>974</v>
      </c>
      <c r="D28" s="863"/>
      <c r="E28" s="866"/>
      <c r="F28" s="864" t="str">
        <f>IF(ROUND('FC-4_PASIVO'!F32-'FC-4_1_MOV_FP'!L31,2)=0,"Ok","Mal, revisa FC-4 y FC-4.1 MOV. F.P.")</f>
        <v>Ok</v>
      </c>
      <c r="G28" s="864" t="str">
        <f>IF(ROUND('FC-4_PASIVO'!G32-'FC-4_1_MOV_FP'!L53,2)=0,"Ok","Mal, revisa FC-4 y FC-4.1 MOV. F.P.")</f>
        <v>Ok</v>
      </c>
      <c r="H28" s="860"/>
      <c r="J28" s="862"/>
      <c r="K28" s="862"/>
      <c r="L28" s="862"/>
      <c r="M28" s="862"/>
    </row>
    <row r="29" spans="2:13" s="861" customFormat="1" ht="30" customHeight="1" x14ac:dyDescent="0.2">
      <c r="B29" s="857"/>
      <c r="C29" s="910" t="s">
        <v>975</v>
      </c>
      <c r="D29" s="863"/>
      <c r="E29" s="866"/>
      <c r="F29" s="864" t="str">
        <f>IF(ROUND('FC-4_PASIVO'!F33-'FC-4_1_MOV_FP'!L32,2)=0,"Ok","Mal, revisa FC-4 y FC-4.1 MOV. F.P.")</f>
        <v>Ok</v>
      </c>
      <c r="G29" s="864" t="str">
        <f>IF(ROUND('FC-4_PASIVO'!G33-'FC-4_1_MOV_FP'!L54,2)=0,"Ok","Mal, revisa FC-4 y FC-4.1 MOV. F.P.")</f>
        <v>Ok</v>
      </c>
      <c r="H29" s="860"/>
      <c r="J29" s="862"/>
      <c r="K29" s="862"/>
      <c r="L29" s="862"/>
      <c r="M29" s="862"/>
    </row>
    <row r="30" spans="2:13" s="861" customFormat="1" ht="30" customHeight="1" x14ac:dyDescent="0.2">
      <c r="B30" s="857"/>
      <c r="C30" s="910" t="s">
        <v>976</v>
      </c>
      <c r="D30" s="863"/>
      <c r="E30" s="866"/>
      <c r="F30" s="864" t="str">
        <f>IF(ROUND('FC-4_PASIVO'!F34-'FC-4_1_MOV_FP'!L33,2)=0,"Ok","Mal, revisa FC-4 y FC-4.1 MOV. F.P.")</f>
        <v>Ok</v>
      </c>
      <c r="G30" s="864" t="str">
        <f>IF(ROUND('FC-4_PASIVO'!G34-'FC-4_1_MOV_FP'!L55,2)=0,"Ok","Mal, revisa FC-4 y FC-4.1 MOV. F.P.")</f>
        <v>Ok</v>
      </c>
      <c r="H30" s="860"/>
      <c r="J30" s="862"/>
      <c r="K30" s="862"/>
      <c r="L30" s="862"/>
      <c r="M30" s="862"/>
    </row>
    <row r="31" spans="2:13" s="861" customFormat="1" ht="30" customHeight="1" x14ac:dyDescent="0.2">
      <c r="B31" s="857"/>
      <c r="C31" s="910" t="s">
        <v>977</v>
      </c>
      <c r="D31" s="863"/>
      <c r="E31" s="866"/>
      <c r="F31" s="864" t="str">
        <f>IF(ROUND('FC-4_1_MOV_FP'!H30-'FC-9_TRANS_SUBV'!G71,2)=0,"Ok","Mal, revísa FC-4 PASIVO y FC-9")</f>
        <v>Ok</v>
      </c>
      <c r="G31" s="864" t="str">
        <f>IF(ROUND('FC-4_1_MOV_FP'!H52-'FC-9_TRANS_SUBV'!H71,2)=0,"Ok","Mal, revísa FC-4 PASIVO y FC-9")</f>
        <v>Ok</v>
      </c>
      <c r="H31" s="860"/>
      <c r="J31" s="862"/>
      <c r="K31" s="862">
        <f>IF(F31="Ok",0,1)</f>
        <v>0</v>
      </c>
      <c r="L31" s="862">
        <f>IF(G31="Ok",0,1)</f>
        <v>0</v>
      </c>
      <c r="M31" s="862">
        <f>SUM(J31:L31)</f>
        <v>0</v>
      </c>
    </row>
    <row r="32" spans="2:13" s="861" customFormat="1" ht="30" customHeight="1" x14ac:dyDescent="0.2">
      <c r="B32" s="857"/>
      <c r="C32" s="865" t="s">
        <v>709</v>
      </c>
      <c r="D32" s="863"/>
      <c r="E32" s="866"/>
      <c r="F32" s="866"/>
      <c r="G32" s="864" t="str">
        <f>IF(ROUND('FC-6_Inversiones'!G46-SUM('FC-6_Inversiones'!H46:M46),2)=0,"Ok","Mal, revisa totales FC-6")</f>
        <v>Ok</v>
      </c>
      <c r="H32" s="860"/>
      <c r="J32" s="862"/>
      <c r="K32" s="862"/>
      <c r="L32" s="862">
        <f t="shared" si="2"/>
        <v>0</v>
      </c>
      <c r="M32" s="862">
        <f t="shared" si="3"/>
        <v>0</v>
      </c>
    </row>
    <row r="33" spans="2:13" s="861" customFormat="1" ht="30" customHeight="1" x14ac:dyDescent="0.2">
      <c r="B33" s="857"/>
      <c r="C33" s="863" t="s">
        <v>652</v>
      </c>
      <c r="D33" s="863"/>
      <c r="E33" s="866"/>
      <c r="F33" s="864" t="str">
        <f>IF(ROUND('FC-4_ACTIVO'!F17-'FC-7_INF'!M15,2)=0,"Ok","Mal, revisa FC-4 ACTIVO y FC-7")</f>
        <v>Ok</v>
      </c>
      <c r="G33" s="864" t="str">
        <f>IF(ROUND('FC-4_ACTIVO'!G17-'FC-7_INF'!M26,2)=0,"Ok","Mal, revisa FC-4 ACTIVO y FC-7")</f>
        <v>Ok</v>
      </c>
      <c r="H33" s="860"/>
      <c r="J33" s="862"/>
      <c r="K33" s="862">
        <f t="shared" ref="K33:K37" si="4">IF(F33="Ok",0,1)</f>
        <v>0</v>
      </c>
      <c r="L33" s="862">
        <f t="shared" ref="L33:L37" si="5">IF(G33="Ok",0,1)</f>
        <v>0</v>
      </c>
      <c r="M33" s="862">
        <f t="shared" si="3"/>
        <v>0</v>
      </c>
    </row>
    <row r="34" spans="2:13" s="861" customFormat="1" ht="30" customHeight="1" x14ac:dyDescent="0.2">
      <c r="B34" s="857"/>
      <c r="C34" s="863" t="s">
        <v>651</v>
      </c>
      <c r="D34" s="863"/>
      <c r="E34" s="866"/>
      <c r="F34" s="864" t="str">
        <f>IF(ROUND('FC-4_ACTIVO'!F26-'FC-7_INF'!M16-'FC-7_INF'!M17,2)=0,"Ok","Mal, revisa FC-4 ACTIVO y FC-7")</f>
        <v>Ok</v>
      </c>
      <c r="G34" s="864" t="str">
        <f>IF(ROUND('FC-4_ACTIVO'!G26-'FC-7_INF'!M27-'FC-7_INF'!M28,2)=0,"Ok","Mal, revisa FC-4 ACTIVO y FC-7")</f>
        <v>Ok</v>
      </c>
      <c r="H34" s="860"/>
      <c r="J34" s="862"/>
      <c r="K34" s="862">
        <f t="shared" si="4"/>
        <v>0</v>
      </c>
      <c r="L34" s="862">
        <f t="shared" si="5"/>
        <v>0</v>
      </c>
      <c r="M34" s="862">
        <f t="shared" si="3"/>
        <v>0</v>
      </c>
    </row>
    <row r="35" spans="2:13" s="861" customFormat="1" ht="30" customHeight="1" x14ac:dyDescent="0.2">
      <c r="B35" s="857"/>
      <c r="C35" s="863" t="s">
        <v>653</v>
      </c>
      <c r="D35" s="863"/>
      <c r="E35" s="866"/>
      <c r="F35" s="864" t="str">
        <f>IF(ROUND(('FC-4_ACTIVO'!F30-'FC-7_INF'!M18-'FC-7_INF'!M19),2)=0,"Ok","Mal, revisa FC-4 ACTIVO y FC-7")</f>
        <v>Ok</v>
      </c>
      <c r="G35" s="864" t="str">
        <f>IF(ROUND(('FC-4_ACTIVO'!G30-'FC-7_INF'!M29-'FC-7_INF'!M30),2)=0,"Ok","Mal, revisa FC-4 ACTIVO y FC-7")</f>
        <v>Ok</v>
      </c>
      <c r="H35" s="860"/>
      <c r="J35" s="862"/>
      <c r="K35" s="862">
        <f t="shared" si="4"/>
        <v>0</v>
      </c>
      <c r="L35" s="862">
        <f t="shared" si="5"/>
        <v>0</v>
      </c>
      <c r="M35" s="862">
        <f t="shared" si="3"/>
        <v>0</v>
      </c>
    </row>
    <row r="36" spans="2:13" s="861" customFormat="1" ht="30" customHeight="1" x14ac:dyDescent="0.2">
      <c r="B36" s="857"/>
      <c r="C36" s="865" t="s">
        <v>696</v>
      </c>
      <c r="D36" s="863"/>
      <c r="E36" s="866"/>
      <c r="F36" s="867" t="str">
        <f>IF(ROUND('FC-7_INF'!M22-'FC-4_ACTIVO'!F52,2)=0,"Ok","Mal, revisa FC-4 ACTIVO y FC-7")</f>
        <v>Ok</v>
      </c>
      <c r="G36" s="867" t="str">
        <f>IF(ROUND('FC-7_INF'!M33-'FC-4_ACTIVO'!G52,2)=0,"Ok","Mal, revisa FC-4 ACTIVO y FC-7")</f>
        <v>Ok</v>
      </c>
      <c r="H36" s="860"/>
      <c r="J36" s="862"/>
      <c r="K36" s="862">
        <f t="shared" si="4"/>
        <v>0</v>
      </c>
      <c r="L36" s="862">
        <f t="shared" si="5"/>
        <v>0</v>
      </c>
      <c r="M36" s="862">
        <f t="shared" si="3"/>
        <v>0</v>
      </c>
    </row>
    <row r="37" spans="2:13" s="861" customFormat="1" ht="30" customHeight="1" x14ac:dyDescent="0.2">
      <c r="B37" s="857"/>
      <c r="C37" s="865" t="s">
        <v>697</v>
      </c>
      <c r="D37" s="863"/>
      <c r="E37" s="866"/>
      <c r="F37" s="864" t="str">
        <f>IF(ROUND('FC-3_CPyG'!F40-'FC-7_INF'!I20,2)=0,"Ok","Mal, revisa datos en FC-3 y FC-7")</f>
        <v>Ok</v>
      </c>
      <c r="G37" s="864" t="str">
        <f>IF(ROUND('FC-3_CPyG'!G40-'FC-7_INF'!I31,2)=0,"Ok","Mal, revisa datos en FC-3 y FC-7")</f>
        <v>Ok</v>
      </c>
      <c r="H37" s="860"/>
      <c r="J37" s="862"/>
      <c r="K37" s="862">
        <f t="shared" si="4"/>
        <v>0</v>
      </c>
      <c r="L37" s="862">
        <f t="shared" si="5"/>
        <v>0</v>
      </c>
      <c r="M37" s="862">
        <f t="shared" si="3"/>
        <v>0</v>
      </c>
    </row>
    <row r="38" spans="2:13" s="861" customFormat="1" ht="30" customHeight="1" x14ac:dyDescent="0.2">
      <c r="B38" s="857"/>
      <c r="C38" s="868" t="s">
        <v>742</v>
      </c>
      <c r="D38" s="863"/>
      <c r="E38" s="866"/>
      <c r="F38" s="866"/>
      <c r="G38" s="864" t="str">
        <f>IF(ROUND('FC-6_Inversiones'!I46-'FC-7_INF'!F31,2)=0,"Ok","Mal, revisa I46 en FC-6 y F31 en FC-7")</f>
        <v>Ok</v>
      </c>
      <c r="H38" s="860"/>
      <c r="J38" s="862"/>
      <c r="K38" s="862"/>
      <c r="L38" s="862"/>
      <c r="M38" s="862"/>
    </row>
    <row r="39" spans="2:13" s="861" customFormat="1" ht="30" customHeight="1" x14ac:dyDescent="0.2">
      <c r="B39" s="857"/>
      <c r="C39" s="869" t="s">
        <v>770</v>
      </c>
      <c r="D39" s="869"/>
      <c r="E39" s="870"/>
      <c r="F39" s="870"/>
      <c r="G39" s="871" t="str">
        <f>IF(ROUND(('FC-4_ACTIVO'!G34+'FC-4_ACTIVO'!G76)-'FC-8_INV_FINANCIERAS'!J25,2)=0,"Ok","Mal, revisa datos en FC-4 Activo y FC-8")</f>
        <v>Ok</v>
      </c>
      <c r="H39" s="860"/>
      <c r="J39" s="862"/>
      <c r="K39" s="862"/>
      <c r="L39" s="862"/>
      <c r="M39" s="862"/>
    </row>
    <row r="40" spans="2:13" s="861" customFormat="1" ht="30" customHeight="1" x14ac:dyDescent="0.2">
      <c r="B40" s="857"/>
      <c r="C40" s="869" t="s">
        <v>772</v>
      </c>
      <c r="D40" s="869"/>
      <c r="E40" s="870"/>
      <c r="F40" s="870"/>
      <c r="G40" s="871" t="str">
        <f>IF(ROUND((SUM('FC-4_ACTIVO'!G35:G39)+SUM('FC-4_ACTIVO'!G77:G81))-('FC-8_INV_FINANCIERAS'!J34),2)=0,"Ok","Mal, revisa datos en FC-4 Activo y FC-8")</f>
        <v>Ok</v>
      </c>
      <c r="H40" s="860"/>
      <c r="J40" s="862"/>
      <c r="K40" s="862"/>
      <c r="L40" s="862"/>
      <c r="M40" s="862"/>
    </row>
    <row r="41" spans="2:13" s="861" customFormat="1" ht="30" customHeight="1" x14ac:dyDescent="0.2">
      <c r="B41" s="857"/>
      <c r="C41" s="869" t="s">
        <v>771</v>
      </c>
      <c r="D41" s="869"/>
      <c r="E41" s="870"/>
      <c r="F41" s="870"/>
      <c r="G41" s="871" t="str">
        <f>IF(ROUND(('FC-4_ACTIVO'!G41+'FC-4_ACTIVO'!G83)-'FC-8_INV_FINANCIERAS'!J49,2)=0,"Ok","Mal, revisa datos en FC-4 ACTIVO y FC-8")</f>
        <v>Ok</v>
      </c>
      <c r="H41" s="860"/>
      <c r="J41" s="862"/>
      <c r="K41" s="862"/>
      <c r="L41" s="862"/>
      <c r="M41" s="862"/>
    </row>
    <row r="42" spans="2:13" s="861" customFormat="1" ht="30" customHeight="1" x14ac:dyDescent="0.2">
      <c r="B42" s="857"/>
      <c r="C42" s="869" t="s">
        <v>773</v>
      </c>
      <c r="D42" s="869"/>
      <c r="E42" s="870"/>
      <c r="F42" s="870"/>
      <c r="G42" s="871" t="str">
        <f>IF(ROUND((SUM('FC-4_ACTIVO'!G42:G46)+SUM('FC-4_ACTIVO'!G84:G88))-'FC-8_INV_FINANCIERAS'!J58,2)=0,"Ok","Mal, revisa datos en FC-4 Activo y en FC-8")</f>
        <v>Ok</v>
      </c>
      <c r="H42" s="860"/>
      <c r="J42" s="862"/>
      <c r="K42" s="862"/>
      <c r="L42" s="862"/>
      <c r="M42" s="862"/>
    </row>
    <row r="43" spans="2:13" s="861" customFormat="1" ht="30" customHeight="1" x14ac:dyDescent="0.2">
      <c r="B43" s="857"/>
      <c r="C43" s="910" t="s">
        <v>945</v>
      </c>
      <c r="D43" s="863"/>
      <c r="E43" s="870"/>
      <c r="F43" s="983" t="str">
        <f>IF(ROUND('FC-9_TRANS_SUBV'!F32-'FC-9_TRANS_SUBV'!G32-'FC-9_TRANS_SUBV'!H32,2)=0,"Ok","Mal, revisa en FC-9 línea original 31")</f>
        <v>Ok</v>
      </c>
      <c r="G43" s="983" t="str">
        <f>IF(ROUND('FC-9_TRANS_SUBV'!I32-'FC-9_TRANS_SUBV'!J32-'FC-9_TRANS_SUBV'!K32,2)=0,"Ok","Mal, revisa en FC-9 línea original 31")</f>
        <v>Ok</v>
      </c>
      <c r="H43" s="860"/>
      <c r="J43" s="862"/>
      <c r="K43" s="862"/>
      <c r="L43" s="862"/>
      <c r="M43" s="862"/>
    </row>
    <row r="44" spans="2:13" s="861" customFormat="1" ht="30" customHeight="1" x14ac:dyDescent="0.2">
      <c r="B44" s="857"/>
      <c r="C44" s="865" t="s">
        <v>699</v>
      </c>
      <c r="D44" s="863"/>
      <c r="E44" s="866"/>
      <c r="F44" s="864" t="str">
        <f>IF(ROUND('FC-4_PASIVO'!F41-'FC-9_TRANS_SUBV'!G35,2)=0,"Ok","Mal, revisa FC-4 PASIVO y FC-9")</f>
        <v>Ok</v>
      </c>
      <c r="G44" s="864" t="str">
        <f>IF(ROUND('FC-4_PASIVO'!G41-'FC-9_TRANS_SUBV'!J35,2)=0,"Ok","Mal, revisa FC-4 PASIVO y FC-9")</f>
        <v>Ok</v>
      </c>
      <c r="H44" s="860"/>
      <c r="J44" s="862"/>
      <c r="K44" s="862">
        <f t="shared" ref="K44:K48" si="6">IF(F44="Ok",0,1)</f>
        <v>0</v>
      </c>
      <c r="L44" s="862">
        <f t="shared" ref="L44:L61" si="7">IF(G44="Ok",0,1)</f>
        <v>0</v>
      </c>
      <c r="M44" s="862">
        <f t="shared" si="3"/>
        <v>0</v>
      </c>
    </row>
    <row r="45" spans="2:13" s="908" customFormat="1" ht="30" customHeight="1" x14ac:dyDescent="0.2">
      <c r="B45" s="909"/>
      <c r="C45" s="910" t="s">
        <v>811</v>
      </c>
      <c r="D45" s="910"/>
      <c r="E45" s="911"/>
      <c r="F45" s="912" t="str">
        <f>IF(ROUND('FC-3_CPyG'!F41+('FC-9_TRANS_SUBV'!F34),2)=0,"Ok","Mal, revisa datos FC-3 epígr. A) 9. y FC-9 celda F33")</f>
        <v>Ok</v>
      </c>
      <c r="G45" s="912" t="str">
        <f>IF(ROUND('FC-3_CPyG'!G41+('FC-9_TRANS_SUBV'!I34),2)=0,"Ok","Mal, revisa datos FC-3 epígr. A) 9. y FC-9 celda G33")</f>
        <v>Ok</v>
      </c>
      <c r="H45" s="913"/>
      <c r="J45" s="862"/>
      <c r="K45" s="862"/>
      <c r="L45" s="862"/>
      <c r="M45" s="862"/>
    </row>
    <row r="46" spans="2:13" s="861" customFormat="1" ht="30" customHeight="1" x14ac:dyDescent="0.2">
      <c r="B46" s="857"/>
      <c r="C46" s="865" t="s">
        <v>700</v>
      </c>
      <c r="D46" s="863"/>
      <c r="E46" s="866"/>
      <c r="F46" s="864" t="str">
        <f>IF(ROUND('FC-3_CPyG'!F29-'FC-9_TRANS_SUBV'!G55,2)=0,"Ok","Mal, revisa dato en FC-3 y FC-9")</f>
        <v>Ok</v>
      </c>
      <c r="G46" s="864" t="str">
        <f>IF(ROUND('FC-3_CPyG'!G29-'FC-9_TRANS_SUBV'!H55,2)=0,"Ok","Mal, revisa dato en FC-3 y FC-9")</f>
        <v>Ok</v>
      </c>
      <c r="H46" s="860"/>
      <c r="J46" s="862"/>
      <c r="K46" s="862">
        <f t="shared" si="6"/>
        <v>0</v>
      </c>
      <c r="L46" s="862">
        <f t="shared" si="7"/>
        <v>0</v>
      </c>
      <c r="M46" s="862">
        <f t="shared" si="3"/>
        <v>0</v>
      </c>
    </row>
    <row r="47" spans="2:13" s="861" customFormat="1" ht="30" customHeight="1" x14ac:dyDescent="0.2">
      <c r="B47" s="857"/>
      <c r="C47" s="910" t="s">
        <v>1010</v>
      </c>
      <c r="D47" s="863"/>
      <c r="E47" s="866"/>
      <c r="F47" s="864" t="str">
        <f>IF(ROUND('FC-3_1_INF_ADIC_CPyG'!F81-'FC-9_TRANS_SUBV'!G56,2)=0,"Ok","Mal, revisa dato en FC-3_1 y FC-9")</f>
        <v>Ok</v>
      </c>
      <c r="G47" s="864" t="str">
        <f>IF(ROUND('FC-3_1_INF_ADIC_CPyG'!G81-'FC-9_TRANS_SUBV'!H56,2)=0,"Ok","Mal, revisa dato en FC-3_1 y FC-9")</f>
        <v>Ok</v>
      </c>
      <c r="H47" s="860"/>
      <c r="J47" s="862"/>
      <c r="K47" s="862"/>
      <c r="L47" s="862"/>
      <c r="M47" s="862"/>
    </row>
    <row r="48" spans="2:13" s="861" customFormat="1" ht="30" customHeight="1" x14ac:dyDescent="0.2">
      <c r="B48" s="857"/>
      <c r="C48" s="910" t="s">
        <v>927</v>
      </c>
      <c r="D48" s="863"/>
      <c r="E48" s="866"/>
      <c r="F48" s="866"/>
      <c r="G48" s="864" t="str">
        <f>IF(ROUND(('FC-4_PASIVO'!G51+'FC-4_PASIVO'!G52)-('FC-10_DEUDAS'!S43),2)=0,"Ok","Mal, revisa datos en FC-4 PASIVO y FC-10")</f>
        <v>Ok</v>
      </c>
      <c r="H48" s="860"/>
      <c r="J48" s="862"/>
      <c r="K48" s="862">
        <f t="shared" si="6"/>
        <v>1</v>
      </c>
      <c r="L48" s="862">
        <f t="shared" si="7"/>
        <v>0</v>
      </c>
      <c r="M48" s="862">
        <f t="shared" si="3"/>
        <v>1</v>
      </c>
    </row>
    <row r="49" spans="2:13" s="861" customFormat="1" ht="30" customHeight="1" x14ac:dyDescent="0.2">
      <c r="B49" s="857"/>
      <c r="C49" s="910" t="s">
        <v>928</v>
      </c>
      <c r="D49" s="863"/>
      <c r="E49" s="866"/>
      <c r="F49" s="866"/>
      <c r="G49" s="864" t="str">
        <f>IF(ROUND(('FC-4_PASIVO'!G68+'FC-4_PASIVO'!G69)-('FC-10_DEUDAS'!R43),2)=0,"Ok","Mal, revisa datos en FC-4 PASIVO y FC-10")</f>
        <v>Ok</v>
      </c>
      <c r="H49" s="860"/>
      <c r="J49" s="862"/>
      <c r="K49" s="862"/>
      <c r="L49" s="862"/>
      <c r="M49" s="862"/>
    </row>
    <row r="50" spans="2:13" s="861" customFormat="1" ht="30" customHeight="1" x14ac:dyDescent="0.2">
      <c r="B50" s="857"/>
      <c r="C50" s="910" t="s">
        <v>949</v>
      </c>
      <c r="D50" s="863"/>
      <c r="E50" s="866"/>
      <c r="F50" s="866"/>
      <c r="G50" s="864" t="str">
        <f>IF(ROUND('FC-4_PASIVO'!G54-'FC-10_DEUDAS'!S75,2)=0,"Ok","Mal, revisa datos en FC-4 Pasivo y FC-10")</f>
        <v>Ok</v>
      </c>
      <c r="H50" s="860"/>
      <c r="J50" s="862"/>
      <c r="K50" s="862"/>
      <c r="L50" s="862"/>
      <c r="M50" s="862"/>
    </row>
    <row r="51" spans="2:13" s="861" customFormat="1" ht="30" customHeight="1" x14ac:dyDescent="0.2">
      <c r="B51" s="857"/>
      <c r="C51" s="910" t="s">
        <v>948</v>
      </c>
      <c r="D51" s="863"/>
      <c r="E51" s="866"/>
      <c r="F51" s="866"/>
      <c r="G51" s="864" t="str">
        <f>IF(ROUND('FC-4_PASIVO'!G71-'FC-10_DEUDAS'!R75,2)=0,"Ok","Mal, revisa datos en FC-4 Pasivo y FC-10")</f>
        <v>Ok</v>
      </c>
      <c r="H51" s="860"/>
      <c r="J51" s="862"/>
      <c r="K51" s="862"/>
      <c r="L51" s="862"/>
      <c r="M51" s="862"/>
    </row>
    <row r="52" spans="2:13" s="861" customFormat="1" ht="30" customHeight="1" x14ac:dyDescent="0.2">
      <c r="B52" s="857"/>
      <c r="C52" s="910" t="s">
        <v>950</v>
      </c>
      <c r="D52" s="863"/>
      <c r="E52" s="866"/>
      <c r="F52" s="866"/>
      <c r="G52" s="864" t="str">
        <f>IF(ROUND('FC-4_PASIVO'!G55-'FC-10_DEUDAS'!S107,2)=0,"Ok","Mal, revisa datos en FC-4 Pasivo y FC-10")</f>
        <v>Ok</v>
      </c>
      <c r="H52" s="860"/>
      <c r="J52" s="862"/>
      <c r="K52" s="862"/>
      <c r="L52" s="862"/>
      <c r="M52" s="862"/>
    </row>
    <row r="53" spans="2:13" s="861" customFormat="1" ht="30" customHeight="1" x14ac:dyDescent="0.2">
      <c r="B53" s="857"/>
      <c r="C53" s="910" t="s">
        <v>951</v>
      </c>
      <c r="D53" s="863"/>
      <c r="E53" s="866"/>
      <c r="F53" s="866"/>
      <c r="G53" s="864" t="str">
        <f>IF(ROUND('FC-4_PASIVO'!G72-'FC-10_DEUDAS'!R107,2)=0,"Ok","Mal, revisa datos en FC-4 Pasivo y FC-10")</f>
        <v>Ok</v>
      </c>
      <c r="H53" s="860"/>
      <c r="J53" s="862"/>
      <c r="K53" s="862"/>
      <c r="L53" s="862"/>
      <c r="M53" s="862"/>
    </row>
    <row r="54" spans="2:13" s="861" customFormat="1" ht="30" customHeight="1" x14ac:dyDescent="0.2">
      <c r="B54" s="857"/>
      <c r="C54" s="910" t="s">
        <v>1054</v>
      </c>
      <c r="D54" s="863"/>
      <c r="E54" s="866"/>
      <c r="F54" s="866"/>
      <c r="G54" s="864" t="str">
        <f>IF(ROUND('FC-10_DEUDAS'!Q43-'FC-10_DEUDAS'!R43-'FC-10_DEUDAS'!S43,2)=0,"Ok","Mal, revisa datos, fila inicial 43 en FC-10")</f>
        <v>Ok</v>
      </c>
      <c r="H54" s="860"/>
      <c r="J54" s="862"/>
      <c r="K54" s="862"/>
      <c r="L54" s="862">
        <f t="shared" si="7"/>
        <v>0</v>
      </c>
      <c r="M54" s="862">
        <f t="shared" si="3"/>
        <v>0</v>
      </c>
    </row>
    <row r="55" spans="2:13" s="861" customFormat="1" ht="30" customHeight="1" x14ac:dyDescent="0.2">
      <c r="B55" s="857"/>
      <c r="C55" s="910" t="s">
        <v>1055</v>
      </c>
      <c r="D55" s="1189"/>
      <c r="E55" s="1190"/>
      <c r="F55" s="1190"/>
      <c r="G55" s="864" t="str">
        <f>IF(ROUND('FC-10_DEUDAS'!Q75-'FC-10_DEUDAS'!R75-'FC-10_DEUDAS'!S75,2)=0,"Ok","Mal, revisa datos, fila inicial 75 en FC-10")</f>
        <v>Ok</v>
      </c>
      <c r="H55" s="860"/>
      <c r="J55" s="862"/>
      <c r="K55" s="862"/>
      <c r="L55" s="862"/>
      <c r="M55" s="862"/>
    </row>
    <row r="56" spans="2:13" s="861" customFormat="1" ht="30" customHeight="1" x14ac:dyDescent="0.2">
      <c r="B56" s="857"/>
      <c r="C56" s="910" t="s">
        <v>1056</v>
      </c>
      <c r="D56" s="1189"/>
      <c r="E56" s="1190"/>
      <c r="F56" s="1190"/>
      <c r="G56" s="864" t="str">
        <f>IF(ROUND('FC-10_DEUDAS'!Q107-'FC-10_DEUDAS'!R107-'FC-10_DEUDAS'!S107,2)=0,"Ok","Mal, revisa datos, fila inicial 107 en FC-10")</f>
        <v>Ok</v>
      </c>
      <c r="H56" s="860"/>
      <c r="J56" s="862"/>
      <c r="K56" s="862"/>
      <c r="L56" s="862"/>
      <c r="M56" s="862"/>
    </row>
    <row r="57" spans="2:13" s="861" customFormat="1" ht="30" customHeight="1" x14ac:dyDescent="0.2">
      <c r="B57" s="857"/>
      <c r="C57" s="1335" t="s">
        <v>1045</v>
      </c>
      <c r="D57" s="1189"/>
      <c r="E57" s="1190"/>
      <c r="F57" s="864" t="str">
        <f>IF(ROUND('FC-4_PASIVO'!F44-'FC-16_1_ INF_ADIC_ESTAB_PRESUP'!E19,2)=0,"Ok","Mal, revisa dato en FC-4_PASIVO y FC-16_1")</f>
        <v>Ok</v>
      </c>
      <c r="G57" s="864" t="str">
        <f>IF(ROUND('FC-4_PASIVO'!G44-'FC-16_1_ INF_ADIC_ESTAB_PRESUP'!J19,2)=0,"Ok","Mal, revisa dato en FC-4_PASIVO y FC-16_1")</f>
        <v>Ok</v>
      </c>
      <c r="H57" s="860"/>
      <c r="J57" s="862"/>
      <c r="K57" s="862"/>
      <c r="L57" s="862"/>
      <c r="M57" s="862"/>
    </row>
    <row r="58" spans="2:13" s="861" customFormat="1" ht="30" customHeight="1" x14ac:dyDescent="0.2">
      <c r="B58" s="857"/>
      <c r="C58" s="1335" t="s">
        <v>1046</v>
      </c>
      <c r="D58" s="1189"/>
      <c r="E58" s="1190"/>
      <c r="F58" s="864" t="str">
        <f>IF(ROUND('FC-4_PASIVO'!F63-'FC-16_1_ INF_ADIC_ESTAB_PRESUP'!E28,2)=0,"Ok","Mal, revisa dato en FC-4_PASIVO y FC-16_1")</f>
        <v>Ok</v>
      </c>
      <c r="G58" s="864" t="str">
        <f>IF(ROUND('FC-4_PASIVO'!G63-'FC-16_1_ INF_ADIC_ESTAB_PRESUP'!J28,2)=0,"Ok","Mal, revisa dato en FC-4_PASIVO y FC-16_1")</f>
        <v>Ok</v>
      </c>
      <c r="H58" s="860"/>
      <c r="J58" s="862"/>
      <c r="K58" s="862"/>
      <c r="L58" s="862"/>
      <c r="M58" s="862"/>
    </row>
    <row r="59" spans="2:13" s="861" customFormat="1" ht="30" customHeight="1" x14ac:dyDescent="0.2">
      <c r="B59" s="857"/>
      <c r="C59" s="872" t="s">
        <v>704</v>
      </c>
      <c r="D59" s="873"/>
      <c r="E59" s="874"/>
      <c r="F59" s="874"/>
      <c r="G59" s="875" t="str">
        <f>IF(ROUND(-'FC-3_CPyG'!G30-'FC-13_PERSONAL'!F31,2)=0,"Ok","Mal, revísa dato en FC-3 CPyG y FC-13")</f>
        <v>Ok</v>
      </c>
      <c r="H59" s="860"/>
      <c r="J59" s="862"/>
      <c r="K59" s="862"/>
      <c r="L59" s="862">
        <f t="shared" si="7"/>
        <v>0</v>
      </c>
      <c r="M59" s="862">
        <f t="shared" si="3"/>
        <v>0</v>
      </c>
    </row>
    <row r="60" spans="2:13" ht="30" customHeight="1" x14ac:dyDescent="0.2">
      <c r="B60" s="364"/>
      <c r="C60" s="361"/>
      <c r="D60" s="361"/>
      <c r="E60" s="361"/>
      <c r="F60" s="361"/>
      <c r="G60" s="361"/>
      <c r="H60" s="365"/>
      <c r="J60" s="788"/>
      <c r="K60" s="788"/>
      <c r="L60" s="788"/>
      <c r="M60" s="788"/>
    </row>
    <row r="61" spans="2:13" ht="30" customHeight="1" x14ac:dyDescent="0.2">
      <c r="B61" s="364"/>
      <c r="C61" s="956" t="s">
        <v>934</v>
      </c>
      <c r="D61" s="876"/>
      <c r="E61" s="877"/>
      <c r="F61" s="877"/>
      <c r="G61" s="878" t="str">
        <f>IF(ROUND('FC-3_CPyG'!G84-'_FC-90_DETALLE'!E168,2)=0,"Ok","Mal, revisa resultado en F-3 y FC-92")</f>
        <v>Ok</v>
      </c>
      <c r="H61" s="365"/>
      <c r="J61" s="788"/>
      <c r="K61" s="788"/>
      <c r="L61" s="788">
        <f t="shared" si="7"/>
        <v>0</v>
      </c>
      <c r="M61" s="788">
        <f t="shared" si="3"/>
        <v>0</v>
      </c>
    </row>
    <row r="62" spans="2:13" ht="23" customHeight="1" thickBot="1" x14ac:dyDescent="0.25">
      <c r="B62" s="368"/>
      <c r="C62" s="369"/>
      <c r="D62" s="369"/>
      <c r="E62" s="369"/>
      <c r="F62" s="370"/>
      <c r="G62" s="369"/>
      <c r="H62" s="371"/>
    </row>
    <row r="63" spans="2:13" ht="23" customHeight="1" x14ac:dyDescent="0.2">
      <c r="F63" s="372"/>
    </row>
    <row r="64" spans="2:13" s="41" customFormat="1" ht="13" x14ac:dyDescent="0.15">
      <c r="C64" s="36" t="s">
        <v>70</v>
      </c>
      <c r="F64" s="42"/>
      <c r="G64" s="40"/>
    </row>
    <row r="65" spans="3:6" s="41" customFormat="1" ht="13" x14ac:dyDescent="0.15">
      <c r="C65" s="37" t="s">
        <v>71</v>
      </c>
      <c r="F65" s="42"/>
    </row>
    <row r="66" spans="3:6" s="41" customFormat="1" ht="13" x14ac:dyDescent="0.15">
      <c r="C66" s="37" t="s">
        <v>72</v>
      </c>
      <c r="F66" s="42"/>
    </row>
    <row r="67" spans="3:6" s="41" customFormat="1" ht="13" x14ac:dyDescent="0.15">
      <c r="C67" s="37" t="s">
        <v>73</v>
      </c>
      <c r="F67" s="42"/>
    </row>
    <row r="68" spans="3:6" s="41" customFormat="1" ht="13" x14ac:dyDescent="0.15">
      <c r="C68" s="37" t="s">
        <v>74</v>
      </c>
      <c r="F68" s="42"/>
    </row>
    <row r="69" spans="3:6" ht="23" customHeight="1" x14ac:dyDescent="0.2">
      <c r="F69" s="372"/>
    </row>
    <row r="70" spans="3:6" ht="23" customHeight="1" x14ac:dyDescent="0.2">
      <c r="F70" s="372"/>
    </row>
    <row r="71" spans="3:6" ht="23" customHeight="1" x14ac:dyDescent="0.2">
      <c r="F71" s="372"/>
    </row>
    <row r="72" spans="3:6" ht="23" customHeight="1" x14ac:dyDescent="0.2">
      <c r="F72" s="372"/>
    </row>
    <row r="73" spans="3:6" ht="23" customHeight="1" x14ac:dyDescent="0.2">
      <c r="F73" s="372"/>
    </row>
    <row r="74" spans="3:6" ht="23" customHeight="1" x14ac:dyDescent="0.2">
      <c r="F74" s="372"/>
    </row>
    <row r="75" spans="3:6" ht="23" customHeight="1" x14ac:dyDescent="0.2">
      <c r="F75" s="372"/>
    </row>
  </sheetData>
  <sheetProtection sheet="1" objects="1" scenarios="1"/>
  <mergeCells count="2">
    <mergeCell ref="G6:G7"/>
    <mergeCell ref="D9:G9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32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W46"/>
  <sheetViews>
    <sheetView topLeftCell="A10" workbookViewId="0">
      <selection activeCell="D29" sqref="D29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5703125" style="96" customWidth="1"/>
    <col min="4" max="4" width="99.5703125" style="96" customWidth="1"/>
    <col min="5" max="7" width="17.7109375" style="97" customWidth="1"/>
    <col min="8" max="8" width="3.28515625" style="96" customWidth="1"/>
    <col min="9" max="16384" width="10.7109375" style="96"/>
  </cols>
  <sheetData>
    <row r="2" spans="1:23" ht="23" customHeight="1" x14ac:dyDescent="0.15">
      <c r="D2" s="311" t="str">
        <f>_GENERAL!D2</f>
        <v>Área de Presidencia, Hacienda y Modernización</v>
      </c>
    </row>
    <row r="3" spans="1:23" ht="23" customHeight="1" x14ac:dyDescent="0.15">
      <c r="D3" s="311" t="str">
        <f>_GENERAL!D3</f>
        <v>Dirección Insular de Hacienda</v>
      </c>
    </row>
    <row r="4" spans="1:23" ht="23" customHeight="1" thickBot="1" x14ac:dyDescent="0.2">
      <c r="A4" s="96" t="s">
        <v>935</v>
      </c>
    </row>
    <row r="5" spans="1:23" ht="9" customHeight="1" x14ac:dyDescent="0.15">
      <c r="B5" s="98"/>
      <c r="C5" s="99"/>
      <c r="D5" s="99"/>
      <c r="E5" s="100"/>
      <c r="F5" s="100"/>
      <c r="G5" s="100"/>
      <c r="H5" s="101"/>
      <c r="J5" s="431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  <c r="W5" s="433"/>
    </row>
    <row r="6" spans="1:23" ht="30" customHeight="1" x14ac:dyDescent="0.2">
      <c r="B6" s="102"/>
      <c r="C6" s="66" t="s">
        <v>0</v>
      </c>
      <c r="D6" s="103"/>
      <c r="E6" s="104"/>
      <c r="F6" s="104"/>
      <c r="G6" s="1362">
        <f>ejercicio</f>
        <v>2020</v>
      </c>
      <c r="H6" s="105"/>
      <c r="J6" s="434"/>
      <c r="K6" s="435" t="s">
        <v>677</v>
      </c>
      <c r="L6" s="435"/>
      <c r="M6" s="435"/>
      <c r="N6" s="435"/>
      <c r="O6" s="436"/>
      <c r="P6" s="436"/>
      <c r="Q6" s="436"/>
      <c r="R6" s="436"/>
      <c r="S6" s="436"/>
      <c r="T6" s="436"/>
      <c r="U6" s="436"/>
      <c r="V6" s="436"/>
      <c r="W6" s="437"/>
    </row>
    <row r="7" spans="1:23" ht="30" customHeight="1" x14ac:dyDescent="0.2">
      <c r="B7" s="102"/>
      <c r="C7" s="66" t="s">
        <v>1</v>
      </c>
      <c r="D7" s="103"/>
      <c r="E7" s="104"/>
      <c r="F7" s="104"/>
      <c r="G7" s="1362"/>
      <c r="H7" s="105"/>
      <c r="J7" s="434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6"/>
      <c r="W7" s="437"/>
    </row>
    <row r="8" spans="1:23" ht="30" customHeight="1" x14ac:dyDescent="0.15">
      <c r="B8" s="102"/>
      <c r="C8" s="106"/>
      <c r="D8" s="103"/>
      <c r="E8" s="104"/>
      <c r="F8" s="104"/>
      <c r="G8" s="107"/>
      <c r="H8" s="105"/>
      <c r="J8" s="434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7"/>
    </row>
    <row r="9" spans="1:23" s="189" customFormat="1" ht="30" customHeight="1" x14ac:dyDescent="0.2">
      <c r="B9" s="187"/>
      <c r="C9" s="55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88"/>
      <c r="J9" s="434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7"/>
    </row>
    <row r="10" spans="1:23" ht="7.25" customHeight="1" x14ac:dyDescent="0.15">
      <c r="B10" s="102"/>
      <c r="C10" s="103"/>
      <c r="D10" s="103"/>
      <c r="E10" s="104"/>
      <c r="F10" s="104"/>
      <c r="G10" s="104"/>
      <c r="H10" s="105"/>
      <c r="J10" s="434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7"/>
    </row>
    <row r="11" spans="1:23" s="114" customFormat="1" ht="30" customHeight="1" x14ac:dyDescent="0.2">
      <c r="B11" s="110"/>
      <c r="C11" s="111" t="s">
        <v>1012</v>
      </c>
      <c r="D11" s="111"/>
      <c r="E11" s="112"/>
      <c r="F11" s="112"/>
      <c r="G11" s="112"/>
      <c r="H11" s="113"/>
      <c r="J11" s="434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7"/>
    </row>
    <row r="12" spans="1:23" s="114" customFormat="1" ht="30" customHeight="1" x14ac:dyDescent="0.2">
      <c r="B12" s="110"/>
      <c r="C12" s="1447"/>
      <c r="D12" s="1447"/>
      <c r="E12" s="95"/>
      <c r="F12" s="95"/>
      <c r="G12" s="95"/>
      <c r="H12" s="113"/>
      <c r="J12" s="434"/>
      <c r="K12" s="436"/>
      <c r="L12" s="436"/>
      <c r="M12" s="436"/>
      <c r="N12" s="436"/>
      <c r="O12" s="436"/>
      <c r="P12" s="436"/>
      <c r="Q12" s="436"/>
      <c r="R12" s="436"/>
      <c r="S12" s="436"/>
      <c r="T12" s="436"/>
      <c r="U12" s="436"/>
      <c r="V12" s="436"/>
      <c r="W12" s="437"/>
    </row>
    <row r="13" spans="1:23" ht="29" customHeight="1" x14ac:dyDescent="0.15">
      <c r="B13" s="116"/>
      <c r="C13" s="65" t="s">
        <v>1013</v>
      </c>
      <c r="D13" s="155"/>
      <c r="E13" s="95"/>
      <c r="F13" s="95"/>
      <c r="G13" s="257"/>
      <c r="H13" s="105"/>
      <c r="J13" s="434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7"/>
    </row>
    <row r="14" spans="1:23" ht="9" customHeight="1" x14ac:dyDescent="0.15">
      <c r="B14" s="116"/>
      <c r="C14" s="155"/>
      <c r="D14" s="155"/>
      <c r="E14" s="95"/>
      <c r="F14" s="95"/>
      <c r="G14" s="95"/>
      <c r="H14" s="105"/>
      <c r="J14" s="434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7"/>
    </row>
    <row r="15" spans="1:23" s="242" customFormat="1" ht="23" customHeight="1" x14ac:dyDescent="0.15">
      <c r="B15" s="243"/>
      <c r="C15" s="197"/>
      <c r="D15" s="244"/>
      <c r="E15" s="197" t="s">
        <v>470</v>
      </c>
      <c r="F15" s="197" t="s">
        <v>562</v>
      </c>
      <c r="G15" s="197"/>
      <c r="H15" s="245"/>
      <c r="J15" s="434"/>
      <c r="K15" s="436"/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7"/>
    </row>
    <row r="16" spans="1:23" s="242" customFormat="1" ht="24" customHeight="1" x14ac:dyDescent="0.15">
      <c r="B16" s="243"/>
      <c r="C16" s="248" t="s">
        <v>435</v>
      </c>
      <c r="D16" s="249" t="s">
        <v>443</v>
      </c>
      <c r="E16" s="248" t="s">
        <v>1014</v>
      </c>
      <c r="F16" s="248">
        <f>ejercicio</f>
        <v>2020</v>
      </c>
      <c r="G16" s="248" t="s">
        <v>563</v>
      </c>
      <c r="H16" s="245"/>
      <c r="J16" s="434"/>
      <c r="K16" s="436"/>
      <c r="L16" s="436"/>
      <c r="M16" s="436"/>
      <c r="N16" s="436"/>
      <c r="O16" s="436"/>
      <c r="P16" s="436"/>
      <c r="Q16" s="436"/>
      <c r="R16" s="436"/>
      <c r="S16" s="436"/>
      <c r="T16" s="436"/>
      <c r="U16" s="436"/>
      <c r="V16" s="436"/>
      <c r="W16" s="437"/>
    </row>
    <row r="17" spans="2:23" ht="23" customHeight="1" x14ac:dyDescent="0.15">
      <c r="B17" s="116"/>
      <c r="C17" s="520"/>
      <c r="D17" s="517"/>
      <c r="E17" s="513"/>
      <c r="F17" s="513"/>
      <c r="G17" s="602"/>
      <c r="H17" s="105"/>
      <c r="J17" s="434"/>
      <c r="K17" s="436"/>
      <c r="L17" s="436"/>
      <c r="M17" s="436"/>
      <c r="N17" s="436"/>
      <c r="O17" s="436"/>
      <c r="P17" s="436"/>
      <c r="Q17" s="436"/>
      <c r="R17" s="436"/>
      <c r="S17" s="436"/>
      <c r="T17" s="436"/>
      <c r="U17" s="436"/>
      <c r="V17" s="436"/>
      <c r="W17" s="437"/>
    </row>
    <row r="18" spans="2:23" ht="23" customHeight="1" x14ac:dyDescent="0.15">
      <c r="B18" s="116"/>
      <c r="C18" s="520"/>
      <c r="D18" s="517"/>
      <c r="E18" s="513"/>
      <c r="F18" s="513"/>
      <c r="G18" s="603"/>
      <c r="H18" s="105"/>
      <c r="J18" s="434"/>
      <c r="K18" s="436"/>
      <c r="L18" s="436"/>
      <c r="M18" s="436"/>
      <c r="N18" s="436"/>
      <c r="O18" s="436"/>
      <c r="P18" s="436"/>
      <c r="Q18" s="436"/>
      <c r="R18" s="436"/>
      <c r="S18" s="436"/>
      <c r="T18" s="436"/>
      <c r="U18" s="436"/>
      <c r="V18" s="436"/>
      <c r="W18" s="437"/>
    </row>
    <row r="19" spans="2:23" ht="23" customHeight="1" x14ac:dyDescent="0.15">
      <c r="B19" s="116"/>
      <c r="C19" s="520"/>
      <c r="D19" s="517"/>
      <c r="E19" s="513"/>
      <c r="F19" s="513"/>
      <c r="G19" s="603"/>
      <c r="H19" s="105"/>
      <c r="J19" s="434"/>
      <c r="K19" s="436"/>
      <c r="L19" s="436"/>
      <c r="M19" s="436"/>
      <c r="N19" s="436"/>
      <c r="O19" s="436"/>
      <c r="P19" s="436"/>
      <c r="Q19" s="436"/>
      <c r="R19" s="436"/>
      <c r="S19" s="436"/>
      <c r="T19" s="436"/>
      <c r="U19" s="436"/>
      <c r="V19" s="436"/>
      <c r="W19" s="437"/>
    </row>
    <row r="20" spans="2:23" ht="23" customHeight="1" x14ac:dyDescent="0.15">
      <c r="B20" s="116"/>
      <c r="C20" s="520"/>
      <c r="D20" s="517"/>
      <c r="E20" s="513"/>
      <c r="F20" s="513"/>
      <c r="G20" s="603"/>
      <c r="H20" s="105"/>
      <c r="J20" s="434"/>
      <c r="K20" s="436"/>
      <c r="L20" s="436"/>
      <c r="M20" s="436"/>
      <c r="N20" s="436"/>
      <c r="O20" s="436"/>
      <c r="P20" s="436"/>
      <c r="Q20" s="436"/>
      <c r="R20" s="436"/>
      <c r="S20" s="436"/>
      <c r="T20" s="436"/>
      <c r="U20" s="436"/>
      <c r="V20" s="436"/>
      <c r="W20" s="437"/>
    </row>
    <row r="21" spans="2:23" ht="23" customHeight="1" x14ac:dyDescent="0.15">
      <c r="B21" s="116"/>
      <c r="C21" s="520"/>
      <c r="D21" s="517"/>
      <c r="E21" s="513"/>
      <c r="F21" s="513"/>
      <c r="G21" s="603"/>
      <c r="H21" s="105"/>
      <c r="J21" s="434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6"/>
      <c r="W21" s="437"/>
    </row>
    <row r="22" spans="2:23" ht="23" customHeight="1" x14ac:dyDescent="0.15">
      <c r="B22" s="116"/>
      <c r="C22" s="520"/>
      <c r="D22" s="517"/>
      <c r="E22" s="513"/>
      <c r="F22" s="513"/>
      <c r="G22" s="603"/>
      <c r="H22" s="105"/>
      <c r="J22" s="434"/>
      <c r="K22" s="436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6"/>
      <c r="W22" s="437"/>
    </row>
    <row r="23" spans="2:23" ht="23" customHeight="1" x14ac:dyDescent="0.15">
      <c r="B23" s="116"/>
      <c r="C23" s="520"/>
      <c r="D23" s="517"/>
      <c r="E23" s="513"/>
      <c r="F23" s="513"/>
      <c r="G23" s="603"/>
      <c r="H23" s="105"/>
      <c r="J23" s="434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7"/>
    </row>
    <row r="24" spans="2:23" ht="23" customHeight="1" x14ac:dyDescent="0.15">
      <c r="B24" s="116"/>
      <c r="C24" s="520"/>
      <c r="D24" s="517"/>
      <c r="E24" s="513"/>
      <c r="F24" s="513"/>
      <c r="G24" s="603"/>
      <c r="H24" s="105"/>
      <c r="J24" s="434"/>
      <c r="K24" s="436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6"/>
      <c r="W24" s="437"/>
    </row>
    <row r="25" spans="2:23" ht="23" customHeight="1" x14ac:dyDescent="0.15">
      <c r="B25" s="116"/>
      <c r="C25" s="520"/>
      <c r="D25" s="517"/>
      <c r="E25" s="513"/>
      <c r="F25" s="513"/>
      <c r="G25" s="603"/>
      <c r="H25" s="105"/>
      <c r="J25" s="434"/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7"/>
    </row>
    <row r="26" spans="2:23" ht="23" customHeight="1" x14ac:dyDescent="0.15">
      <c r="B26" s="116"/>
      <c r="C26" s="520"/>
      <c r="D26" s="517"/>
      <c r="E26" s="513"/>
      <c r="F26" s="513"/>
      <c r="G26" s="603"/>
      <c r="H26" s="105"/>
      <c r="J26" s="434"/>
      <c r="K26" s="436"/>
      <c r="L26" s="436"/>
      <c r="M26" s="436"/>
      <c r="N26" s="436"/>
      <c r="O26" s="436"/>
      <c r="P26" s="436"/>
      <c r="Q26" s="436"/>
      <c r="R26" s="436"/>
      <c r="S26" s="436"/>
      <c r="T26" s="436"/>
      <c r="U26" s="436"/>
      <c r="V26" s="436"/>
      <c r="W26" s="437"/>
    </row>
    <row r="27" spans="2:23" ht="23" customHeight="1" x14ac:dyDescent="0.15">
      <c r="B27" s="116"/>
      <c r="C27" s="520"/>
      <c r="D27" s="517"/>
      <c r="E27" s="513"/>
      <c r="F27" s="513"/>
      <c r="G27" s="603"/>
      <c r="H27" s="105"/>
      <c r="J27" s="434"/>
      <c r="K27" s="436"/>
      <c r="L27" s="436"/>
      <c r="M27" s="436"/>
      <c r="N27" s="436"/>
      <c r="O27" s="436"/>
      <c r="P27" s="436"/>
      <c r="Q27" s="436"/>
      <c r="R27" s="436"/>
      <c r="S27" s="436"/>
      <c r="T27" s="436"/>
      <c r="U27" s="436"/>
      <c r="V27" s="436"/>
      <c r="W27" s="437"/>
    </row>
    <row r="28" spans="2:23" ht="23" customHeight="1" x14ac:dyDescent="0.15">
      <c r="B28" s="116"/>
      <c r="C28" s="520"/>
      <c r="D28" s="517"/>
      <c r="E28" s="513"/>
      <c r="F28" s="513"/>
      <c r="G28" s="603"/>
      <c r="H28" s="105"/>
      <c r="J28" s="434"/>
      <c r="K28" s="436"/>
      <c r="L28" s="436"/>
      <c r="M28" s="436"/>
      <c r="N28" s="436"/>
      <c r="O28" s="436"/>
      <c r="P28" s="436"/>
      <c r="Q28" s="436"/>
      <c r="R28" s="436"/>
      <c r="S28" s="436"/>
      <c r="T28" s="436"/>
      <c r="U28" s="436"/>
      <c r="V28" s="436"/>
      <c r="W28" s="437"/>
    </row>
    <row r="29" spans="2:23" ht="23" customHeight="1" x14ac:dyDescent="0.15">
      <c r="B29" s="116"/>
      <c r="C29" s="520"/>
      <c r="D29" s="517"/>
      <c r="E29" s="513"/>
      <c r="F29" s="513"/>
      <c r="G29" s="603"/>
      <c r="H29" s="105"/>
      <c r="J29" s="434"/>
      <c r="K29" s="436"/>
      <c r="L29" s="436"/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437"/>
    </row>
    <row r="30" spans="2:23" ht="23" customHeight="1" x14ac:dyDescent="0.15">
      <c r="B30" s="116"/>
      <c r="C30" s="520"/>
      <c r="D30" s="517"/>
      <c r="E30" s="513"/>
      <c r="F30" s="513"/>
      <c r="G30" s="603"/>
      <c r="H30" s="105"/>
      <c r="J30" s="434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7"/>
    </row>
    <row r="31" spans="2:23" ht="23" customHeight="1" x14ac:dyDescent="0.15">
      <c r="B31" s="116"/>
      <c r="C31" s="521"/>
      <c r="D31" s="518"/>
      <c r="E31" s="514"/>
      <c r="F31" s="514"/>
      <c r="G31" s="604"/>
      <c r="H31" s="105"/>
      <c r="J31" s="434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7"/>
    </row>
    <row r="32" spans="2:23" ht="23" customHeight="1" x14ac:dyDescent="0.15">
      <c r="B32" s="116"/>
      <c r="C32" s="522"/>
      <c r="D32" s="519"/>
      <c r="E32" s="516"/>
      <c r="F32" s="516"/>
      <c r="G32" s="605"/>
      <c r="H32" s="105"/>
      <c r="J32" s="434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7"/>
    </row>
    <row r="33" spans="2:23" ht="23" customHeight="1" thickBot="1" x14ac:dyDescent="0.2">
      <c r="B33" s="116"/>
      <c r="C33" s="216"/>
      <c r="D33" s="220" t="s">
        <v>394</v>
      </c>
      <c r="E33" s="175">
        <f>SUM(E17:E32)</f>
        <v>0</v>
      </c>
      <c r="F33" s="175">
        <f>SUM(F17:F32)</f>
        <v>0</v>
      </c>
      <c r="G33" s="95"/>
      <c r="H33" s="105"/>
      <c r="J33" s="434"/>
      <c r="K33" s="436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437"/>
    </row>
    <row r="34" spans="2:23" ht="23" customHeight="1" x14ac:dyDescent="0.15">
      <c r="B34" s="116"/>
      <c r="C34" s="216"/>
      <c r="D34" s="216"/>
      <c r="E34" s="217"/>
      <c r="F34" s="217"/>
      <c r="G34" s="95"/>
      <c r="H34" s="105"/>
      <c r="J34" s="434"/>
      <c r="K34" s="436"/>
      <c r="L34" s="436"/>
      <c r="M34" s="436"/>
      <c r="N34" s="436"/>
      <c r="O34" s="436"/>
      <c r="P34" s="436"/>
      <c r="Q34" s="436"/>
      <c r="R34" s="436"/>
      <c r="S34" s="436"/>
      <c r="T34" s="436"/>
      <c r="U34" s="436"/>
      <c r="V34" s="436"/>
      <c r="W34" s="437"/>
    </row>
    <row r="35" spans="2:23" ht="23" customHeight="1" thickBot="1" x14ac:dyDescent="0.2">
      <c r="B35" s="120"/>
      <c r="C35" s="1375"/>
      <c r="D35" s="1375"/>
      <c r="E35" s="56"/>
      <c r="F35" s="56"/>
      <c r="G35" s="121"/>
      <c r="H35" s="122"/>
      <c r="J35" s="428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30"/>
    </row>
    <row r="36" spans="2:23" ht="23" customHeight="1" x14ac:dyDescent="0.15">
      <c r="C36" s="103"/>
      <c r="D36" s="103"/>
      <c r="E36" s="104"/>
      <c r="F36" s="104"/>
      <c r="G36" s="104"/>
      <c r="I36" s="96" t="s">
        <v>936</v>
      </c>
    </row>
    <row r="37" spans="2:23" ht="13" x14ac:dyDescent="0.15">
      <c r="C37" s="123" t="s">
        <v>70</v>
      </c>
      <c r="D37" s="103"/>
      <c r="E37" s="104"/>
      <c r="F37" s="104"/>
      <c r="G37" s="94" t="s">
        <v>511</v>
      </c>
    </row>
    <row r="38" spans="2:23" ht="13" x14ac:dyDescent="0.15">
      <c r="C38" s="124" t="s">
        <v>71</v>
      </c>
      <c r="D38" s="103"/>
      <c r="E38" s="104"/>
      <c r="F38" s="104"/>
      <c r="G38" s="104"/>
    </row>
    <row r="39" spans="2:23" ht="13" x14ac:dyDescent="0.15">
      <c r="C39" s="124" t="s">
        <v>72</v>
      </c>
      <c r="D39" s="103"/>
      <c r="E39" s="104"/>
      <c r="F39" s="104"/>
      <c r="G39" s="104"/>
    </row>
    <row r="40" spans="2:23" ht="13" x14ac:dyDescent="0.15">
      <c r="C40" s="124" t="s">
        <v>73</v>
      </c>
      <c r="D40" s="103"/>
      <c r="E40" s="104"/>
      <c r="F40" s="104"/>
      <c r="G40" s="104"/>
    </row>
    <row r="41" spans="2:23" ht="13" x14ac:dyDescent="0.15">
      <c r="C41" s="124" t="s">
        <v>74</v>
      </c>
      <c r="D41" s="103"/>
      <c r="E41" s="104"/>
      <c r="F41" s="104"/>
      <c r="G41" s="104"/>
    </row>
    <row r="42" spans="2:23" ht="23" customHeight="1" x14ac:dyDescent="0.15">
      <c r="C42" s="103"/>
      <c r="D42" s="103"/>
      <c r="E42" s="104"/>
      <c r="F42" s="104"/>
      <c r="G42" s="104"/>
    </row>
    <row r="43" spans="2:23" ht="23" customHeight="1" x14ac:dyDescent="0.15">
      <c r="C43" s="103"/>
      <c r="D43" s="103"/>
      <c r="E43" s="104"/>
      <c r="F43" s="104"/>
      <c r="G43" s="104"/>
    </row>
    <row r="44" spans="2:23" ht="23" customHeight="1" x14ac:dyDescent="0.15">
      <c r="C44" s="103"/>
      <c r="D44" s="103"/>
      <c r="E44" s="104"/>
      <c r="F44" s="104"/>
      <c r="G44" s="104"/>
    </row>
    <row r="45" spans="2:23" ht="23" customHeight="1" x14ac:dyDescent="0.15">
      <c r="C45" s="103"/>
      <c r="D45" s="103"/>
      <c r="E45" s="104"/>
      <c r="F45" s="104"/>
      <c r="G45" s="104"/>
    </row>
    <row r="46" spans="2:23" ht="23" customHeight="1" x14ac:dyDescent="0.15">
      <c r="E46" s="104"/>
      <c r="F46" s="104"/>
      <c r="G46" s="104"/>
    </row>
  </sheetData>
  <sheetProtection sheet="1" insertRows="0"/>
  <mergeCells count="4">
    <mergeCell ref="C35:D35"/>
    <mergeCell ref="G6:G7"/>
    <mergeCell ref="D9:G9"/>
    <mergeCell ref="C12:D12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5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W63"/>
  <sheetViews>
    <sheetView topLeftCell="A8" workbookViewId="0">
      <selection activeCell="D37" sqref="D37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28515625" style="96" customWidth="1"/>
    <col min="4" max="4" width="68" style="96" customWidth="1"/>
    <col min="5" max="5" width="17.7109375" style="97" customWidth="1"/>
    <col min="6" max="6" width="44.7109375" style="97" customWidth="1"/>
    <col min="7" max="7" width="10.7109375" style="97" customWidth="1"/>
    <col min="8" max="8" width="3.28515625" style="96" customWidth="1"/>
    <col min="9" max="16384" width="10.7109375" style="96"/>
  </cols>
  <sheetData>
    <row r="2" spans="1:23" ht="23" customHeight="1" x14ac:dyDescent="0.15">
      <c r="D2" s="311" t="str">
        <f>_GENERAL!D2</f>
        <v>Área de Presidencia, Hacienda y Modernización</v>
      </c>
    </row>
    <row r="3" spans="1:23" ht="23" customHeight="1" x14ac:dyDescent="0.15">
      <c r="D3" s="311" t="str">
        <f>_GENERAL!D3</f>
        <v>Dirección Insular de Hacienda</v>
      </c>
    </row>
    <row r="4" spans="1:23" ht="23" customHeight="1" thickBot="1" x14ac:dyDescent="0.2">
      <c r="A4" s="96" t="s">
        <v>935</v>
      </c>
    </row>
    <row r="5" spans="1:23" ht="9" customHeight="1" x14ac:dyDescent="0.15">
      <c r="B5" s="98"/>
      <c r="C5" s="99"/>
      <c r="D5" s="99"/>
      <c r="E5" s="100"/>
      <c r="F5" s="100"/>
      <c r="G5" s="100"/>
      <c r="H5" s="101"/>
      <c r="J5" s="431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  <c r="W5" s="433"/>
    </row>
    <row r="6" spans="1:23" ht="30" customHeight="1" x14ac:dyDescent="0.2">
      <c r="B6" s="102"/>
      <c r="C6" s="66" t="s">
        <v>0</v>
      </c>
      <c r="D6" s="103"/>
      <c r="E6" s="104"/>
      <c r="F6" s="104"/>
      <c r="G6" s="1362">
        <f>ejercicio</f>
        <v>2020</v>
      </c>
      <c r="H6" s="105"/>
      <c r="J6" s="434"/>
      <c r="K6" s="435" t="s">
        <v>677</v>
      </c>
      <c r="L6" s="435"/>
      <c r="M6" s="435"/>
      <c r="N6" s="435"/>
      <c r="O6" s="436"/>
      <c r="P6" s="436"/>
      <c r="Q6" s="436"/>
      <c r="R6" s="436"/>
      <c r="S6" s="436"/>
      <c r="T6" s="436"/>
      <c r="U6" s="436"/>
      <c r="V6" s="436"/>
      <c r="W6" s="437"/>
    </row>
    <row r="7" spans="1:23" ht="30" customHeight="1" x14ac:dyDescent="0.2">
      <c r="B7" s="102"/>
      <c r="C7" s="66" t="s">
        <v>1</v>
      </c>
      <c r="D7" s="103"/>
      <c r="E7" s="104"/>
      <c r="F7" s="104"/>
      <c r="G7" s="1362"/>
      <c r="H7" s="105"/>
      <c r="J7" s="434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6"/>
      <c r="W7" s="437"/>
    </row>
    <row r="8" spans="1:23" ht="30" customHeight="1" x14ac:dyDescent="0.15">
      <c r="B8" s="102"/>
      <c r="C8" s="106"/>
      <c r="D8" s="103"/>
      <c r="E8" s="104"/>
      <c r="F8" s="104"/>
      <c r="G8" s="107"/>
      <c r="H8" s="105"/>
      <c r="J8" s="434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7"/>
    </row>
    <row r="9" spans="1:23" s="189" customFormat="1" ht="30" customHeight="1" x14ac:dyDescent="0.2">
      <c r="B9" s="187"/>
      <c r="C9" s="55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188"/>
      <c r="J9" s="434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7"/>
    </row>
    <row r="10" spans="1:23" ht="7.25" customHeight="1" x14ac:dyDescent="0.15">
      <c r="B10" s="102"/>
      <c r="C10" s="103"/>
      <c r="D10" s="103"/>
      <c r="E10" s="104"/>
      <c r="F10" s="104"/>
      <c r="G10" s="104"/>
      <c r="H10" s="105"/>
      <c r="J10" s="434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7"/>
    </row>
    <row r="11" spans="1:23" s="114" customFormat="1" ht="30" customHeight="1" x14ac:dyDescent="0.2">
      <c r="B11" s="110"/>
      <c r="C11" s="111" t="s">
        <v>568</v>
      </c>
      <c r="D11" s="111"/>
      <c r="E11" s="112"/>
      <c r="F11" s="112"/>
      <c r="G11" s="112"/>
      <c r="H11" s="113"/>
      <c r="J11" s="434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7"/>
    </row>
    <row r="12" spans="1:23" s="114" customFormat="1" ht="30" customHeight="1" x14ac:dyDescent="0.2">
      <c r="B12" s="110"/>
      <c r="C12" s="1447"/>
      <c r="D12" s="1447"/>
      <c r="E12" s="95"/>
      <c r="F12" s="95"/>
      <c r="G12" s="95"/>
      <c r="H12" s="113"/>
      <c r="J12" s="434"/>
      <c r="K12" s="436"/>
      <c r="L12" s="436"/>
      <c r="M12" s="436"/>
      <c r="N12" s="436"/>
      <c r="O12" s="436"/>
      <c r="P12" s="436"/>
      <c r="Q12" s="436"/>
      <c r="R12" s="436"/>
      <c r="S12" s="436"/>
      <c r="T12" s="436"/>
      <c r="U12" s="436"/>
      <c r="V12" s="436"/>
      <c r="W12" s="437"/>
    </row>
    <row r="13" spans="1:23" ht="29" customHeight="1" x14ac:dyDescent="0.15">
      <c r="B13" s="116"/>
      <c r="C13" s="65"/>
      <c r="D13" s="155"/>
      <c r="E13" s="95"/>
      <c r="F13" s="95"/>
      <c r="G13" s="257"/>
      <c r="H13" s="105"/>
      <c r="J13" s="434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7"/>
    </row>
    <row r="14" spans="1:23" ht="9" customHeight="1" x14ac:dyDescent="0.15">
      <c r="B14" s="116"/>
      <c r="C14" s="155"/>
      <c r="D14" s="155"/>
      <c r="E14" s="95"/>
      <c r="F14" s="95"/>
      <c r="G14" s="95"/>
      <c r="H14" s="105"/>
      <c r="J14" s="434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7"/>
    </row>
    <row r="15" spans="1:23" s="242" customFormat="1" ht="23" customHeight="1" x14ac:dyDescent="0.15">
      <c r="B15" s="243"/>
      <c r="C15" s="260"/>
      <c r="D15" s="263"/>
      <c r="E15" s="197" t="s">
        <v>564</v>
      </c>
      <c r="F15" s="260"/>
      <c r="G15" s="263"/>
      <c r="H15" s="245"/>
      <c r="J15" s="434"/>
      <c r="K15" s="436"/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7"/>
    </row>
    <row r="16" spans="1:23" s="242" customFormat="1" ht="23" customHeight="1" x14ac:dyDescent="0.15">
      <c r="B16" s="243"/>
      <c r="C16" s="261"/>
      <c r="D16" s="264"/>
      <c r="E16" s="246" t="s">
        <v>565</v>
      </c>
      <c r="F16" s="261"/>
      <c r="G16" s="264"/>
      <c r="H16" s="245"/>
      <c r="J16" s="434"/>
      <c r="K16" s="436"/>
      <c r="L16" s="436"/>
      <c r="M16" s="436"/>
      <c r="N16" s="436"/>
      <c r="O16" s="436"/>
      <c r="P16" s="436"/>
      <c r="Q16" s="436"/>
      <c r="R16" s="436"/>
      <c r="S16" s="436"/>
      <c r="T16" s="436"/>
      <c r="U16" s="436"/>
      <c r="V16" s="436"/>
      <c r="W16" s="437"/>
    </row>
    <row r="17" spans="2:23" s="242" customFormat="1" ht="23" customHeight="1" x14ac:dyDescent="0.15">
      <c r="B17" s="243"/>
      <c r="C17" s="261"/>
      <c r="D17" s="264"/>
      <c r="E17" s="246" t="s">
        <v>566</v>
      </c>
      <c r="F17" s="261"/>
      <c r="G17" s="264"/>
      <c r="H17" s="245"/>
      <c r="J17" s="434"/>
      <c r="K17" s="436"/>
      <c r="L17" s="436"/>
      <c r="M17" s="436"/>
      <c r="N17" s="436"/>
      <c r="O17" s="436"/>
      <c r="P17" s="436"/>
      <c r="Q17" s="436"/>
      <c r="R17" s="436"/>
      <c r="S17" s="436"/>
      <c r="T17" s="436"/>
      <c r="U17" s="436"/>
      <c r="V17" s="436"/>
      <c r="W17" s="437"/>
    </row>
    <row r="18" spans="2:23" s="242" customFormat="1" ht="24" customHeight="1" x14ac:dyDescent="0.15">
      <c r="B18" s="243"/>
      <c r="C18" s="1459" t="s">
        <v>443</v>
      </c>
      <c r="D18" s="1460"/>
      <c r="E18" s="291">
        <f>ejercicio</f>
        <v>2020</v>
      </c>
      <c r="F18" s="262" t="s">
        <v>567</v>
      </c>
      <c r="G18" s="265"/>
      <c r="H18" s="245"/>
      <c r="J18" s="434"/>
      <c r="K18" s="436"/>
      <c r="L18" s="436"/>
      <c r="M18" s="436"/>
      <c r="N18" s="436"/>
      <c r="O18" s="436"/>
      <c r="P18" s="436"/>
      <c r="Q18" s="436"/>
      <c r="R18" s="436"/>
      <c r="S18" s="436"/>
      <c r="T18" s="436"/>
      <c r="U18" s="436"/>
      <c r="V18" s="436"/>
      <c r="W18" s="437"/>
    </row>
    <row r="19" spans="2:23" ht="9" customHeight="1" x14ac:dyDescent="0.15">
      <c r="B19" s="116"/>
      <c r="C19" s="65"/>
      <c r="D19" s="155"/>
      <c r="E19" s="95"/>
      <c r="F19" s="95"/>
      <c r="G19" s="257"/>
      <c r="H19" s="105"/>
      <c r="J19" s="434"/>
      <c r="K19" s="436"/>
      <c r="L19" s="436"/>
      <c r="M19" s="436"/>
      <c r="N19" s="436"/>
      <c r="O19" s="436"/>
      <c r="P19" s="436"/>
      <c r="Q19" s="436"/>
      <c r="R19" s="436"/>
      <c r="S19" s="436"/>
      <c r="T19" s="436"/>
      <c r="U19" s="436"/>
      <c r="V19" s="436"/>
      <c r="W19" s="437"/>
    </row>
    <row r="20" spans="2:23" s="128" customFormat="1" ht="23" customHeight="1" thickBot="1" x14ac:dyDescent="0.25">
      <c r="B20" s="165"/>
      <c r="C20" s="1500" t="s">
        <v>569</v>
      </c>
      <c r="D20" s="1501"/>
      <c r="E20" s="272">
        <f>SUM(E21:E30)</f>
        <v>3523396.6799999997</v>
      </c>
      <c r="F20" s="1513"/>
      <c r="G20" s="1514"/>
      <c r="H20" s="127"/>
      <c r="J20" s="434"/>
      <c r="K20" s="436"/>
      <c r="L20" s="436"/>
      <c r="M20" s="436"/>
      <c r="N20" s="436"/>
      <c r="O20" s="436"/>
      <c r="P20" s="436"/>
      <c r="Q20" s="436"/>
      <c r="R20" s="436"/>
      <c r="S20" s="436"/>
      <c r="T20" s="436"/>
      <c r="U20" s="436"/>
      <c r="V20" s="436"/>
      <c r="W20" s="437"/>
    </row>
    <row r="21" spans="2:23" ht="23" customHeight="1" x14ac:dyDescent="0.15">
      <c r="B21" s="116"/>
      <c r="C21" s="182" t="s">
        <v>570</v>
      </c>
      <c r="D21" s="266"/>
      <c r="E21" s="607">
        <f>+'FC-3_CPyG'!G16</f>
        <v>90000</v>
      </c>
      <c r="F21" s="1515"/>
      <c r="G21" s="1516"/>
      <c r="H21" s="105"/>
      <c r="J21" s="434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6"/>
      <c r="W21" s="437"/>
    </row>
    <row r="22" spans="2:23" ht="23" customHeight="1" x14ac:dyDescent="0.15">
      <c r="B22" s="116"/>
      <c r="C22" s="182" t="s">
        <v>571</v>
      </c>
      <c r="D22" s="266"/>
      <c r="E22" s="607">
        <f>+'FC-3_CPyG'!G21</f>
        <v>0</v>
      </c>
      <c r="F22" s="1509"/>
      <c r="G22" s="1510"/>
      <c r="H22" s="105"/>
      <c r="J22" s="434"/>
      <c r="K22" s="436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6"/>
      <c r="W22" s="437"/>
    </row>
    <row r="23" spans="2:23" ht="23" customHeight="1" x14ac:dyDescent="0.15">
      <c r="B23" s="116"/>
      <c r="C23" s="182" t="s">
        <v>572</v>
      </c>
      <c r="D23" s="266"/>
      <c r="E23" s="607">
        <f>+'FC-3_CPyG'!G28</f>
        <v>198000</v>
      </c>
      <c r="F23" s="1509"/>
      <c r="G23" s="1510"/>
      <c r="H23" s="105"/>
      <c r="J23" s="434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7"/>
    </row>
    <row r="24" spans="2:23" ht="23" customHeight="1" x14ac:dyDescent="0.15">
      <c r="B24" s="116"/>
      <c r="C24" s="182" t="s">
        <v>573</v>
      </c>
      <c r="D24" s="266"/>
      <c r="E24" s="607">
        <f>'FC-9_TRANS_SUBV'!J55</f>
        <v>1528883.75</v>
      </c>
      <c r="F24" s="1509"/>
      <c r="G24" s="1510"/>
      <c r="H24" s="105"/>
      <c r="J24" s="434"/>
      <c r="K24" s="436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6"/>
      <c r="W24" s="437"/>
    </row>
    <row r="25" spans="2:23" ht="23" customHeight="1" x14ac:dyDescent="0.15">
      <c r="B25" s="116"/>
      <c r="C25" s="182" t="s">
        <v>574</v>
      </c>
      <c r="D25" s="266"/>
      <c r="E25" s="607">
        <f>+'FC-3_CPyG'!G55+'FC-3_CPyG'!G72+IF('FC-3_CPyG'!G73&gt;0,'FC-3_CPyG'!G73,0)</f>
        <v>0</v>
      </c>
      <c r="F25" s="1509"/>
      <c r="G25" s="1510"/>
      <c r="H25" s="105"/>
      <c r="J25" s="434"/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7"/>
    </row>
    <row r="26" spans="2:23" ht="23" customHeight="1" x14ac:dyDescent="0.15">
      <c r="B26" s="116"/>
      <c r="C26" s="182" t="s">
        <v>575</v>
      </c>
      <c r="D26" s="266"/>
      <c r="E26" s="607">
        <f>+'FC-3_CPyG'!G52</f>
        <v>0</v>
      </c>
      <c r="F26" s="1509"/>
      <c r="G26" s="1510"/>
      <c r="H26" s="105"/>
      <c r="J26" s="434"/>
      <c r="K26" s="436"/>
      <c r="L26" s="436"/>
      <c r="M26" s="436"/>
      <c r="N26" s="436"/>
      <c r="O26" s="436"/>
      <c r="P26" s="436"/>
      <c r="Q26" s="436"/>
      <c r="R26" s="436"/>
      <c r="S26" s="436"/>
      <c r="T26" s="436"/>
      <c r="U26" s="436"/>
      <c r="V26" s="436"/>
      <c r="W26" s="437"/>
    </row>
    <row r="27" spans="2:23" ht="23" customHeight="1" x14ac:dyDescent="0.15">
      <c r="B27" s="116"/>
      <c r="C27" s="1265" t="s">
        <v>1053</v>
      </c>
      <c r="D27" s="266"/>
      <c r="E27" s="1266"/>
      <c r="F27" s="1244" t="s">
        <v>1001</v>
      </c>
      <c r="G27" s="1295"/>
      <c r="H27" s="105"/>
      <c r="J27" s="434"/>
      <c r="K27" s="436"/>
      <c r="L27" s="436"/>
      <c r="M27" s="436"/>
      <c r="N27" s="436"/>
      <c r="O27" s="436"/>
      <c r="P27" s="436"/>
      <c r="Q27" s="436"/>
      <c r="R27" s="436"/>
      <c r="S27" s="436"/>
      <c r="T27" s="436"/>
      <c r="U27" s="436"/>
      <c r="V27" s="436"/>
      <c r="W27" s="437"/>
    </row>
    <row r="28" spans="2:23" ht="23" customHeight="1" x14ac:dyDescent="0.15">
      <c r="B28" s="116"/>
      <c r="C28" s="182" t="s">
        <v>576</v>
      </c>
      <c r="D28" s="266"/>
      <c r="E28" s="607">
        <f>+'FC-3_1_INF_ADIC_CPyG'!G48</f>
        <v>0</v>
      </c>
      <c r="F28" s="1509"/>
      <c r="G28" s="1510"/>
      <c r="H28" s="105"/>
      <c r="J28" s="434"/>
      <c r="K28" s="436"/>
      <c r="L28" s="436"/>
      <c r="M28" s="436"/>
      <c r="N28" s="436"/>
      <c r="O28" s="436"/>
      <c r="P28" s="436"/>
      <c r="Q28" s="436"/>
      <c r="R28" s="436"/>
      <c r="S28" s="436"/>
      <c r="T28" s="436"/>
      <c r="U28" s="436"/>
      <c r="V28" s="436"/>
      <c r="W28" s="437"/>
    </row>
    <row r="29" spans="2:23" ht="23" customHeight="1" x14ac:dyDescent="0.15">
      <c r="B29" s="116"/>
      <c r="C29" s="847" t="s">
        <v>774</v>
      </c>
      <c r="D29" s="266"/>
      <c r="E29" s="607">
        <f>'FC-9_TRANS_SUBV'!J71+'FC-9_TRANS_SUBV'!H85</f>
        <v>1433160.43</v>
      </c>
      <c r="F29" s="1509"/>
      <c r="G29" s="1510"/>
      <c r="H29" s="105"/>
      <c r="J29" s="434"/>
      <c r="K29" s="436"/>
      <c r="L29" s="436"/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437"/>
    </row>
    <row r="30" spans="2:23" ht="23" customHeight="1" x14ac:dyDescent="0.15">
      <c r="B30" s="116"/>
      <c r="C30" s="160" t="s">
        <v>577</v>
      </c>
      <c r="D30" s="267"/>
      <c r="E30" s="608">
        <f>'FC-9_TRANS_SUBV'!M32</f>
        <v>273352.5</v>
      </c>
      <c r="F30" s="1511"/>
      <c r="G30" s="1512"/>
      <c r="H30" s="105"/>
      <c r="J30" s="434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7"/>
    </row>
    <row r="31" spans="2:23" ht="9" customHeight="1" x14ac:dyDescent="0.15">
      <c r="B31" s="116"/>
      <c r="C31" s="65"/>
      <c r="D31" s="155"/>
      <c r="E31" s="95"/>
      <c r="F31" s="95"/>
      <c r="G31" s="257"/>
      <c r="H31" s="105"/>
      <c r="J31" s="434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7"/>
    </row>
    <row r="32" spans="2:23" ht="23" customHeight="1" thickBot="1" x14ac:dyDescent="0.25">
      <c r="B32" s="116"/>
      <c r="C32" s="1500" t="s">
        <v>578</v>
      </c>
      <c r="D32" s="1501"/>
      <c r="E32" s="272">
        <f>SUM(E33:E44)</f>
        <v>-3144482.8</v>
      </c>
      <c r="F32" s="1513"/>
      <c r="G32" s="1514"/>
      <c r="H32" s="105"/>
      <c r="J32" s="434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7"/>
    </row>
    <row r="33" spans="2:23" ht="23" customHeight="1" x14ac:dyDescent="0.15">
      <c r="B33" s="116"/>
      <c r="C33" s="182" t="s">
        <v>93</v>
      </c>
      <c r="D33" s="266"/>
      <c r="E33" s="607">
        <f>+'FC-3_CPyG'!G22</f>
        <v>0</v>
      </c>
      <c r="F33" s="1509"/>
      <c r="G33" s="1510"/>
      <c r="H33" s="105"/>
      <c r="J33" s="434"/>
      <c r="K33" s="436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437"/>
    </row>
    <row r="34" spans="2:23" ht="23" customHeight="1" x14ac:dyDescent="0.15">
      <c r="B34" s="116"/>
      <c r="C34" s="182" t="s">
        <v>579</v>
      </c>
      <c r="D34" s="266"/>
      <c r="E34" s="607">
        <f>+'FC-3_CPyG'!G30</f>
        <v>-700493.11</v>
      </c>
      <c r="F34" s="540"/>
      <c r="G34" s="499"/>
      <c r="H34" s="105"/>
      <c r="J34" s="434"/>
      <c r="K34" s="436"/>
      <c r="L34" s="436"/>
      <c r="M34" s="436"/>
      <c r="N34" s="436"/>
      <c r="O34" s="436"/>
      <c r="P34" s="436"/>
      <c r="Q34" s="436"/>
      <c r="R34" s="436"/>
      <c r="S34" s="436"/>
      <c r="T34" s="436"/>
      <c r="U34" s="436"/>
      <c r="V34" s="436"/>
      <c r="W34" s="437"/>
    </row>
    <row r="35" spans="2:23" ht="23" customHeight="1" x14ac:dyDescent="0.15">
      <c r="B35" s="116"/>
      <c r="C35" s="182" t="s">
        <v>108</v>
      </c>
      <c r="D35" s="266"/>
      <c r="E35" s="607">
        <f>'FC-3_CPyG'!G35+'FC-3_CPyG'!G38+'FC-3_CPyG'!G39</f>
        <v>-2513094.0499999998</v>
      </c>
      <c r="F35" s="540"/>
      <c r="G35" s="499"/>
      <c r="H35" s="105"/>
      <c r="J35" s="434"/>
      <c r="K35" s="436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7"/>
    </row>
    <row r="36" spans="2:23" ht="23" customHeight="1" x14ac:dyDescent="0.15">
      <c r="B36" s="116"/>
      <c r="C36" s="182" t="s">
        <v>580</v>
      </c>
      <c r="D36" s="266"/>
      <c r="E36" s="607">
        <f>+'FC-3_CPyG'!G60+'FC-3_CPyG'!G61+'FC-3_CPyG'!G71+IF('FC-3_CPyG'!G73&lt;0,'FC-3_CPyG'!G73,0)</f>
        <v>0</v>
      </c>
      <c r="F36" s="540"/>
      <c r="G36" s="499"/>
      <c r="H36" s="105"/>
      <c r="J36" s="434"/>
      <c r="K36" s="436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7"/>
    </row>
    <row r="37" spans="2:23" ht="23" customHeight="1" x14ac:dyDescent="0.15">
      <c r="B37" s="116"/>
      <c r="C37" s="182" t="s">
        <v>581</v>
      </c>
      <c r="D37" s="266"/>
      <c r="E37" s="607">
        <f>-'FC-3_1_INF_ADIC_CPyG'!G68-'FC-3_1_INF_ADIC_CPyG'!G69</f>
        <v>109404.36</v>
      </c>
      <c r="F37" s="540"/>
      <c r="G37" s="499"/>
      <c r="H37" s="105"/>
      <c r="J37" s="434"/>
      <c r="K37" s="436"/>
      <c r="L37" s="436"/>
      <c r="M37" s="436"/>
      <c r="N37" s="436"/>
      <c r="O37" s="436"/>
      <c r="P37" s="436"/>
      <c r="Q37" s="436"/>
      <c r="R37" s="436"/>
      <c r="S37" s="436"/>
      <c r="T37" s="436"/>
      <c r="U37" s="436"/>
      <c r="V37" s="436"/>
      <c r="W37" s="437"/>
    </row>
    <row r="38" spans="2:23" ht="23" customHeight="1" x14ac:dyDescent="0.15">
      <c r="B38" s="116"/>
      <c r="C38" s="182" t="s">
        <v>582</v>
      </c>
      <c r="D38" s="266"/>
      <c r="E38" s="607">
        <f>+'FC-3_CPyG'!G36</f>
        <v>-10300</v>
      </c>
      <c r="F38" s="540"/>
      <c r="G38" s="499"/>
      <c r="H38" s="105"/>
      <c r="J38" s="434"/>
      <c r="K38" s="436"/>
      <c r="L38" s="436"/>
      <c r="M38" s="436"/>
      <c r="N38" s="436"/>
      <c r="O38" s="436"/>
      <c r="P38" s="436"/>
      <c r="Q38" s="436"/>
      <c r="R38" s="436"/>
      <c r="S38" s="436"/>
      <c r="T38" s="436"/>
      <c r="U38" s="436"/>
      <c r="V38" s="436"/>
      <c r="W38" s="437"/>
    </row>
    <row r="39" spans="2:23" ht="23" customHeight="1" x14ac:dyDescent="0.15">
      <c r="B39" s="116"/>
      <c r="C39" s="182" t="s">
        <v>583</v>
      </c>
      <c r="D39" s="266"/>
      <c r="E39" s="607">
        <f>+'FC-3_1_INF_ADIC_CPyG'!G57</f>
        <v>0</v>
      </c>
      <c r="F39" s="540"/>
      <c r="G39" s="499"/>
      <c r="H39" s="105"/>
      <c r="J39" s="434"/>
      <c r="K39" s="436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437"/>
    </row>
    <row r="40" spans="2:23" ht="23" customHeight="1" x14ac:dyDescent="0.15">
      <c r="B40" s="116"/>
      <c r="C40" s="182" t="s">
        <v>584</v>
      </c>
      <c r="D40" s="266"/>
      <c r="E40" s="1264">
        <f>-'FC-7_INF'!F31-'FC-7_INF'!H31+'FC-7_INF'!N31-'FC-7_INF'!F33-'FC-7_INF'!H33-'FC-7_INF'!K33</f>
        <v>-30000</v>
      </c>
      <c r="F40" s="540"/>
      <c r="G40" s="499"/>
      <c r="H40" s="105"/>
      <c r="J40" s="434"/>
      <c r="K40" s="436"/>
      <c r="L40" s="436"/>
      <c r="M40" s="436"/>
      <c r="N40" s="436"/>
      <c r="O40" s="436"/>
      <c r="P40" s="436"/>
      <c r="Q40" s="436"/>
      <c r="R40" s="436"/>
      <c r="S40" s="436"/>
      <c r="T40" s="436"/>
      <c r="U40" s="436"/>
      <c r="V40" s="436"/>
      <c r="W40" s="437"/>
    </row>
    <row r="41" spans="2:23" ht="23" customHeight="1" x14ac:dyDescent="0.15">
      <c r="B41" s="116"/>
      <c r="C41" s="606" t="s">
        <v>585</v>
      </c>
      <c r="D41" s="266"/>
      <c r="E41" s="1264">
        <f>+'FC-3_CPyG'!G20</f>
        <v>0</v>
      </c>
      <c r="F41" s="540"/>
      <c r="G41" s="499"/>
      <c r="H41" s="105"/>
      <c r="J41" s="434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7"/>
    </row>
    <row r="42" spans="2:23" ht="23" customHeight="1" x14ac:dyDescent="0.15">
      <c r="B42" s="116"/>
      <c r="C42" s="1265" t="s">
        <v>1048</v>
      </c>
      <c r="D42" s="266"/>
      <c r="E42" s="1264">
        <f>'FC-16_1_ INF_ADIC_ESTAB_PRESUP'!G19+'FC-16_1_ INF_ADIC_ESTAB_PRESUP'!G28</f>
        <v>0</v>
      </c>
      <c r="F42" s="1244"/>
      <c r="G42" s="499"/>
      <c r="H42" s="105"/>
      <c r="J42" s="434"/>
      <c r="K42" s="436"/>
      <c r="L42" s="436"/>
      <c r="M42" s="436"/>
      <c r="N42" s="436"/>
      <c r="O42" s="436"/>
      <c r="P42" s="436"/>
      <c r="Q42" s="436"/>
      <c r="R42" s="436"/>
      <c r="S42" s="436"/>
      <c r="T42" s="436"/>
      <c r="U42" s="436"/>
      <c r="V42" s="436"/>
      <c r="W42" s="437"/>
    </row>
    <row r="43" spans="2:23" ht="23" customHeight="1" x14ac:dyDescent="0.15">
      <c r="B43" s="116"/>
      <c r="C43" s="1265" t="s">
        <v>1049</v>
      </c>
      <c r="D43" s="266"/>
      <c r="E43" s="1266"/>
      <c r="F43" s="1509" t="s">
        <v>1001</v>
      </c>
      <c r="G43" s="1510" t="s">
        <v>1001</v>
      </c>
      <c r="H43" s="105"/>
      <c r="J43" s="434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7"/>
    </row>
    <row r="44" spans="2:23" ht="23" customHeight="1" x14ac:dyDescent="0.15">
      <c r="B44" s="116"/>
      <c r="C44" s="1267" t="s">
        <v>1050</v>
      </c>
      <c r="D44" s="267"/>
      <c r="E44" s="1270">
        <f>'FC-3_1_INF_ADIC_CPyG'!G87</f>
        <v>0</v>
      </c>
      <c r="F44" s="1511"/>
      <c r="G44" s="1512"/>
      <c r="H44" s="105"/>
      <c r="J44" s="434"/>
      <c r="K44" s="436"/>
      <c r="L44" s="436"/>
      <c r="M44" s="436"/>
      <c r="N44" s="436"/>
      <c r="O44" s="436"/>
      <c r="P44" s="436"/>
      <c r="Q44" s="436"/>
      <c r="R44" s="436"/>
      <c r="S44" s="436"/>
      <c r="T44" s="436"/>
      <c r="U44" s="436"/>
      <c r="V44" s="436"/>
      <c r="W44" s="437"/>
    </row>
    <row r="45" spans="2:23" ht="9" customHeight="1" x14ac:dyDescent="0.15">
      <c r="B45" s="116"/>
      <c r="C45" s="65"/>
      <c r="D45" s="155"/>
      <c r="E45" s="95"/>
      <c r="F45" s="95"/>
      <c r="G45" s="257"/>
      <c r="H45" s="105"/>
      <c r="J45" s="434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7"/>
    </row>
    <row r="46" spans="2:23" ht="23" customHeight="1" thickBot="1" x14ac:dyDescent="0.2">
      <c r="B46" s="116"/>
      <c r="C46" s="162" t="s">
        <v>586</v>
      </c>
      <c r="D46" s="293"/>
      <c r="E46" s="175">
        <f>+E20+E32</f>
        <v>378913.87999999989</v>
      </c>
      <c r="F46" s="95"/>
      <c r="G46" s="95"/>
      <c r="H46" s="105"/>
      <c r="J46" s="434"/>
      <c r="K46" s="436"/>
      <c r="L46" s="436"/>
      <c r="M46" s="436"/>
      <c r="N46" s="436"/>
      <c r="O46" s="436"/>
      <c r="P46" s="436"/>
      <c r="Q46" s="436"/>
      <c r="R46" s="436"/>
      <c r="S46" s="436"/>
      <c r="T46" s="436"/>
      <c r="U46" s="436"/>
      <c r="V46" s="436"/>
      <c r="W46" s="437"/>
    </row>
    <row r="47" spans="2:23" ht="23" customHeight="1" x14ac:dyDescent="0.15">
      <c r="B47" s="116"/>
      <c r="C47" s="216"/>
      <c r="D47" s="216"/>
      <c r="E47" s="217"/>
      <c r="F47" s="217"/>
      <c r="G47" s="95"/>
      <c r="H47" s="105"/>
      <c r="J47" s="434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7"/>
    </row>
    <row r="48" spans="2:23" ht="23" customHeight="1" x14ac:dyDescent="0.15">
      <c r="B48" s="116"/>
      <c r="C48" s="171" t="s">
        <v>405</v>
      </c>
      <c r="D48" s="216"/>
      <c r="E48" s="217"/>
      <c r="F48" s="217"/>
      <c r="G48" s="95"/>
      <c r="H48" s="105"/>
      <c r="J48" s="434"/>
      <c r="K48" s="436"/>
      <c r="L48" s="436"/>
      <c r="M48" s="436"/>
      <c r="N48" s="436"/>
      <c r="O48" s="436"/>
      <c r="P48" s="436"/>
      <c r="Q48" s="436"/>
      <c r="R48" s="436"/>
      <c r="S48" s="436"/>
      <c r="T48" s="436"/>
      <c r="U48" s="436"/>
      <c r="V48" s="436"/>
      <c r="W48" s="437"/>
    </row>
    <row r="49" spans="2:23" ht="23" customHeight="1" x14ac:dyDescent="0.15">
      <c r="B49" s="116"/>
      <c r="C49" s="169" t="s">
        <v>707</v>
      </c>
      <c r="D49" s="216"/>
      <c r="E49" s="217"/>
      <c r="F49" s="217"/>
      <c r="G49" s="95"/>
      <c r="H49" s="105"/>
      <c r="J49" s="434"/>
      <c r="K49" s="436"/>
      <c r="L49" s="436"/>
      <c r="M49" s="436"/>
      <c r="N49" s="436"/>
      <c r="O49" s="436"/>
      <c r="P49" s="436"/>
      <c r="Q49" s="436"/>
      <c r="R49" s="436"/>
      <c r="S49" s="436"/>
      <c r="T49" s="436"/>
      <c r="U49" s="436"/>
      <c r="V49" s="436"/>
      <c r="W49" s="437"/>
    </row>
    <row r="50" spans="2:23" ht="23" customHeight="1" x14ac:dyDescent="0.15">
      <c r="B50" s="116"/>
      <c r="C50" s="169" t="s">
        <v>1051</v>
      </c>
      <c r="D50" s="216"/>
      <c r="E50" s="217"/>
      <c r="F50" s="217"/>
      <c r="G50" s="95"/>
      <c r="H50" s="105"/>
      <c r="J50" s="434"/>
      <c r="K50" s="436"/>
      <c r="L50" s="436"/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7"/>
    </row>
    <row r="51" spans="2:23" ht="23" customHeight="1" x14ac:dyDescent="0.15">
      <c r="B51" s="116"/>
      <c r="C51" s="169" t="s">
        <v>1052</v>
      </c>
      <c r="D51" s="216"/>
      <c r="E51" s="217"/>
      <c r="F51" s="217"/>
      <c r="G51" s="95"/>
      <c r="H51" s="105"/>
      <c r="J51" s="434"/>
      <c r="K51" s="436"/>
      <c r="L51" s="436"/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7"/>
    </row>
    <row r="52" spans="2:23" ht="23" customHeight="1" thickBot="1" x14ac:dyDescent="0.2">
      <c r="B52" s="120"/>
      <c r="C52" s="1375"/>
      <c r="D52" s="1375"/>
      <c r="E52" s="56"/>
      <c r="F52" s="56"/>
      <c r="G52" s="121"/>
      <c r="H52" s="122"/>
      <c r="J52" s="428"/>
      <c r="K52" s="429"/>
      <c r="L52" s="429"/>
      <c r="M52" s="429"/>
      <c r="N52" s="429"/>
      <c r="O52" s="429"/>
      <c r="P52" s="429"/>
      <c r="Q52" s="429"/>
      <c r="R52" s="429"/>
      <c r="S52" s="429"/>
      <c r="T52" s="429"/>
      <c r="U52" s="429"/>
      <c r="V52" s="429"/>
      <c r="W52" s="430"/>
    </row>
    <row r="53" spans="2:23" ht="23" customHeight="1" x14ac:dyDescent="0.15">
      <c r="C53" s="103"/>
      <c r="D53" s="103"/>
      <c r="E53" s="104"/>
      <c r="F53" s="104"/>
      <c r="G53" s="104"/>
      <c r="I53" s="96" t="s">
        <v>936</v>
      </c>
    </row>
    <row r="54" spans="2:23" ht="13" x14ac:dyDescent="0.15">
      <c r="C54" s="123" t="s">
        <v>70</v>
      </c>
      <c r="D54" s="103"/>
      <c r="E54" s="104"/>
      <c r="F54" s="104"/>
      <c r="G54" s="94" t="s">
        <v>62</v>
      </c>
    </row>
    <row r="55" spans="2:23" ht="13" x14ac:dyDescent="0.15">
      <c r="C55" s="124" t="s">
        <v>71</v>
      </c>
      <c r="D55" s="103"/>
      <c r="E55" s="104"/>
      <c r="F55" s="104"/>
      <c r="G55" s="104"/>
    </row>
    <row r="56" spans="2:23" ht="13" x14ac:dyDescent="0.15">
      <c r="C56" s="124" t="s">
        <v>72</v>
      </c>
      <c r="D56" s="103"/>
      <c r="E56" s="104"/>
      <c r="F56" s="104"/>
      <c r="G56" s="104"/>
    </row>
    <row r="57" spans="2:23" ht="13" x14ac:dyDescent="0.15">
      <c r="C57" s="124" t="s">
        <v>73</v>
      </c>
      <c r="D57" s="103"/>
      <c r="E57" s="104"/>
      <c r="F57" s="104"/>
      <c r="G57" s="104"/>
    </row>
    <row r="58" spans="2:23" ht="13" x14ac:dyDescent="0.15">
      <c r="C58" s="124" t="s">
        <v>74</v>
      </c>
      <c r="D58" s="103"/>
      <c r="E58" s="104"/>
      <c r="F58" s="104"/>
      <c r="G58" s="104"/>
    </row>
    <row r="59" spans="2:23" ht="23" customHeight="1" x14ac:dyDescent="0.15">
      <c r="C59" s="103"/>
      <c r="D59" s="103"/>
      <c r="E59" s="104"/>
      <c r="F59" s="104"/>
      <c r="G59" s="104"/>
    </row>
    <row r="60" spans="2:23" ht="23" customHeight="1" x14ac:dyDescent="0.15">
      <c r="C60" s="103"/>
      <c r="D60" s="103"/>
      <c r="E60" s="104"/>
      <c r="F60" s="104"/>
      <c r="G60" s="104"/>
    </row>
    <row r="61" spans="2:23" ht="23" customHeight="1" x14ac:dyDescent="0.15">
      <c r="C61" s="103"/>
      <c r="D61" s="103"/>
      <c r="E61" s="104"/>
      <c r="F61" s="104"/>
      <c r="G61" s="104"/>
    </row>
    <row r="62" spans="2:23" ht="23" customHeight="1" x14ac:dyDescent="0.15">
      <c r="C62" s="103"/>
      <c r="D62" s="103"/>
      <c r="E62" s="104"/>
      <c r="F62" s="104"/>
      <c r="G62" s="104"/>
    </row>
    <row r="63" spans="2:23" ht="23" customHeight="1" x14ac:dyDescent="0.15">
      <c r="E63" s="104"/>
      <c r="F63" s="104"/>
      <c r="G63" s="104"/>
    </row>
  </sheetData>
  <sheetProtection sheet="1" objects="1" scenarios="1"/>
  <mergeCells count="21">
    <mergeCell ref="G6:G7"/>
    <mergeCell ref="D9:G9"/>
    <mergeCell ref="C12:D12"/>
    <mergeCell ref="C52:D52"/>
    <mergeCell ref="F20:G20"/>
    <mergeCell ref="F21:G21"/>
    <mergeCell ref="F22:G22"/>
    <mergeCell ref="F23:G23"/>
    <mergeCell ref="F24:G24"/>
    <mergeCell ref="F25:G25"/>
    <mergeCell ref="F43:G43"/>
    <mergeCell ref="F44:G44"/>
    <mergeCell ref="C18:D18"/>
    <mergeCell ref="C20:D20"/>
    <mergeCell ref="C32:D32"/>
    <mergeCell ref="F26:G26"/>
    <mergeCell ref="F28:G28"/>
    <mergeCell ref="F29:G29"/>
    <mergeCell ref="F30:G30"/>
    <mergeCell ref="F32:G32"/>
    <mergeCell ref="F33:G33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48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AA46"/>
  <sheetViews>
    <sheetView topLeftCell="A4" zoomScaleNormal="100" zoomScalePageLayoutView="125" workbookViewId="0">
      <selection activeCell="K48" sqref="K48"/>
    </sheetView>
  </sheetViews>
  <sheetFormatPr baseColWidth="10" defaultColWidth="10.7109375" defaultRowHeight="23" customHeight="1" x14ac:dyDescent="0.15"/>
  <cols>
    <col min="1" max="1" width="4.28515625" style="615" bestFit="1" customWidth="1"/>
    <col min="2" max="2" width="3.28515625" style="615" customWidth="1"/>
    <col min="3" max="3" width="13.5703125" style="615" customWidth="1"/>
    <col min="4" max="4" width="59.7109375" style="615" customWidth="1"/>
    <col min="5" max="10" width="13.42578125" style="617" customWidth="1"/>
    <col min="11" max="11" width="40.7109375" style="617" customWidth="1"/>
    <col min="12" max="12" width="3.28515625" style="615" customWidth="1"/>
    <col min="13" max="16384" width="10.7109375" style="615"/>
  </cols>
  <sheetData>
    <row r="2" spans="1:27" ht="23" customHeight="1" x14ac:dyDescent="0.15">
      <c r="D2" s="677" t="str">
        <f>_GENERAL!D2</f>
        <v>Área de Presidencia, Hacienda y Modernización</v>
      </c>
    </row>
    <row r="3" spans="1:27" ht="23" customHeight="1" x14ac:dyDescent="0.15">
      <c r="D3" s="677" t="str">
        <f>_GENERAL!D3</f>
        <v>Dirección Insular de Hacienda</v>
      </c>
    </row>
    <row r="4" spans="1:27" ht="23" customHeight="1" thickBot="1" x14ac:dyDescent="0.2">
      <c r="A4" s="615" t="s">
        <v>935</v>
      </c>
    </row>
    <row r="5" spans="1:27" ht="9" customHeight="1" x14ac:dyDescent="0.15">
      <c r="B5" s="618"/>
      <c r="C5" s="619"/>
      <c r="D5" s="619"/>
      <c r="E5" s="620"/>
      <c r="F5" s="620"/>
      <c r="G5" s="620"/>
      <c r="H5" s="620"/>
      <c r="I5" s="620"/>
      <c r="J5" s="620"/>
      <c r="K5" s="620"/>
      <c r="L5" s="621"/>
      <c r="N5" s="984"/>
      <c r="O5" s="985"/>
      <c r="P5" s="985"/>
      <c r="Q5" s="985"/>
      <c r="R5" s="985"/>
      <c r="S5" s="985"/>
      <c r="T5" s="985"/>
      <c r="U5" s="985"/>
      <c r="V5" s="985"/>
      <c r="W5" s="985"/>
      <c r="X5" s="985"/>
      <c r="Y5" s="985"/>
      <c r="Z5" s="985"/>
      <c r="AA5" s="986"/>
    </row>
    <row r="6" spans="1:27" ht="30" customHeight="1" x14ac:dyDescent="0.2">
      <c r="B6" s="622"/>
      <c r="C6" s="623" t="s">
        <v>0</v>
      </c>
      <c r="D6" s="624"/>
      <c r="E6" s="625"/>
      <c r="F6" s="625"/>
      <c r="G6" s="625"/>
      <c r="H6" s="625"/>
      <c r="I6" s="625"/>
      <c r="J6" s="625"/>
      <c r="K6" s="1368">
        <f>ejercicio</f>
        <v>2020</v>
      </c>
      <c r="L6" s="626"/>
      <c r="N6" s="987"/>
      <c r="O6" s="988" t="s">
        <v>677</v>
      </c>
      <c r="P6" s="989"/>
      <c r="Q6" s="989"/>
      <c r="R6" s="989"/>
      <c r="S6" s="989"/>
      <c r="T6" s="989"/>
      <c r="U6" s="989"/>
      <c r="V6" s="989"/>
      <c r="W6" s="989"/>
      <c r="X6" s="989"/>
      <c r="Y6" s="989"/>
      <c r="Z6" s="989"/>
      <c r="AA6" s="990"/>
    </row>
    <row r="7" spans="1:27" ht="30" customHeight="1" x14ac:dyDescent="0.2">
      <c r="B7" s="622"/>
      <c r="C7" s="623" t="s">
        <v>1</v>
      </c>
      <c r="D7" s="624"/>
      <c r="E7" s="625"/>
      <c r="F7" s="625"/>
      <c r="G7" s="625"/>
      <c r="H7" s="625"/>
      <c r="I7" s="625"/>
      <c r="J7" s="625"/>
      <c r="K7" s="1368"/>
      <c r="L7" s="626"/>
      <c r="N7" s="987"/>
      <c r="O7" s="989"/>
      <c r="P7" s="989"/>
      <c r="Q7" s="989"/>
      <c r="R7" s="989"/>
      <c r="S7" s="989"/>
      <c r="T7" s="989"/>
      <c r="U7" s="989"/>
      <c r="V7" s="989"/>
      <c r="W7" s="989"/>
      <c r="X7" s="989"/>
      <c r="Y7" s="989"/>
      <c r="Z7" s="989"/>
      <c r="AA7" s="990"/>
    </row>
    <row r="8" spans="1:27" ht="30" customHeight="1" x14ac:dyDescent="0.15">
      <c r="B8" s="622"/>
      <c r="C8" s="628"/>
      <c r="D8" s="624"/>
      <c r="E8" s="625"/>
      <c r="F8" s="625"/>
      <c r="G8" s="625"/>
      <c r="H8" s="625"/>
      <c r="I8" s="625"/>
      <c r="J8" s="625"/>
      <c r="K8" s="1014"/>
      <c r="L8" s="626"/>
      <c r="N8" s="987"/>
      <c r="O8" s="989"/>
      <c r="P8" s="989"/>
      <c r="Q8" s="989"/>
      <c r="R8" s="989"/>
      <c r="S8" s="989"/>
      <c r="T8" s="989"/>
      <c r="U8" s="989"/>
      <c r="V8" s="989"/>
      <c r="W8" s="989"/>
      <c r="X8" s="989"/>
      <c r="Y8" s="989"/>
      <c r="Z8" s="989"/>
      <c r="AA8" s="990"/>
    </row>
    <row r="9" spans="1:27" s="1305" customFormat="1" ht="30" customHeight="1" x14ac:dyDescent="0.2">
      <c r="B9" s="1306"/>
      <c r="C9" s="630" t="s">
        <v>2</v>
      </c>
      <c r="D9" s="1370" t="str">
        <f>Entidad</f>
        <v>TEA Tenerife Espacio de las Artes, Entidad Pública Empresarial Local</v>
      </c>
      <c r="E9" s="1370"/>
      <c r="F9" s="1370"/>
      <c r="G9" s="1370"/>
      <c r="H9" s="1370"/>
      <c r="I9" s="1370"/>
      <c r="J9" s="1370"/>
      <c r="K9" s="1370"/>
      <c r="L9" s="1307"/>
      <c r="N9" s="1308"/>
      <c r="O9" s="1309"/>
      <c r="P9" s="1309"/>
      <c r="Q9" s="1309"/>
      <c r="R9" s="1309"/>
      <c r="S9" s="1309"/>
      <c r="T9" s="1309"/>
      <c r="U9" s="1309"/>
      <c r="V9" s="1309"/>
      <c r="W9" s="1309"/>
      <c r="X9" s="1309"/>
      <c r="Y9" s="1309"/>
      <c r="Z9" s="1309"/>
      <c r="AA9" s="1310"/>
    </row>
    <row r="10" spans="1:27" ht="7.25" customHeight="1" x14ac:dyDescent="0.15">
      <c r="B10" s="622"/>
      <c r="C10" s="624"/>
      <c r="D10" s="624"/>
      <c r="E10" s="625"/>
      <c r="F10" s="625"/>
      <c r="G10" s="625"/>
      <c r="H10" s="625"/>
      <c r="I10" s="625"/>
      <c r="J10" s="625"/>
      <c r="K10" s="625"/>
      <c r="L10" s="626"/>
      <c r="N10" s="987"/>
      <c r="O10" s="989"/>
      <c r="P10" s="989"/>
      <c r="Q10" s="989"/>
      <c r="R10" s="989"/>
      <c r="S10" s="989"/>
      <c r="T10" s="989"/>
      <c r="U10" s="989"/>
      <c r="V10" s="989"/>
      <c r="W10" s="989"/>
      <c r="X10" s="989"/>
      <c r="Y10" s="989"/>
      <c r="Z10" s="989"/>
      <c r="AA10" s="990"/>
    </row>
    <row r="11" spans="1:27" s="635" customFormat="1" ht="30" customHeight="1" x14ac:dyDescent="0.2">
      <c r="B11" s="632"/>
      <c r="C11" s="633" t="s">
        <v>1025</v>
      </c>
      <c r="D11" s="633"/>
      <c r="E11" s="634"/>
      <c r="F11" s="634"/>
      <c r="G11" s="634"/>
      <c r="H11" s="634"/>
      <c r="I11" s="634"/>
      <c r="J11" s="634"/>
      <c r="K11" s="634"/>
      <c r="L11" s="991"/>
      <c r="N11" s="1311"/>
      <c r="O11" s="1312"/>
      <c r="P11" s="1312"/>
      <c r="Q11" s="1312"/>
      <c r="R11" s="1312"/>
      <c r="S11" s="1312"/>
      <c r="T11" s="1312"/>
      <c r="U11" s="1312"/>
      <c r="V11" s="1312"/>
      <c r="W11" s="1312"/>
      <c r="X11" s="1312"/>
      <c r="Y11" s="1312"/>
      <c r="Z11" s="1312"/>
      <c r="AA11" s="1313"/>
    </row>
    <row r="12" spans="1:27" s="635" customFormat="1" ht="30" customHeight="1" x14ac:dyDescent="0.2">
      <c r="B12" s="632"/>
      <c r="C12" s="1314"/>
      <c r="D12" s="1314"/>
      <c r="E12" s="636"/>
      <c r="F12" s="636"/>
      <c r="G12" s="636"/>
      <c r="H12" s="636"/>
      <c r="I12" s="636"/>
      <c r="J12" s="636"/>
      <c r="K12" s="636"/>
      <c r="L12" s="991"/>
      <c r="N12" s="1311"/>
      <c r="O12" s="1312"/>
      <c r="P12" s="1312"/>
      <c r="Q12" s="1312"/>
      <c r="R12" s="1312"/>
      <c r="S12" s="1312"/>
      <c r="T12" s="1312"/>
      <c r="U12" s="1312"/>
      <c r="V12" s="1312"/>
      <c r="W12" s="1312"/>
      <c r="X12" s="1312"/>
      <c r="Y12" s="1312"/>
      <c r="Z12" s="1312"/>
      <c r="AA12" s="1313"/>
    </row>
    <row r="13" spans="1:27" s="1315" customFormat="1" ht="23" customHeight="1" x14ac:dyDescent="0.15">
      <c r="B13" s="638"/>
      <c r="C13" s="1517"/>
      <c r="D13" s="1518"/>
      <c r="E13" s="993" t="s">
        <v>1032</v>
      </c>
      <c r="F13" s="1519" t="s">
        <v>396</v>
      </c>
      <c r="G13" s="1520"/>
      <c r="H13" s="1520"/>
      <c r="I13" s="1521"/>
      <c r="J13" s="993" t="s">
        <v>1033</v>
      </c>
      <c r="K13" s="1522" t="s">
        <v>1044</v>
      </c>
      <c r="L13" s="1316"/>
      <c r="N13" s="987"/>
      <c r="O13" s="989"/>
      <c r="P13" s="989"/>
      <c r="Q13" s="989"/>
      <c r="R13" s="989"/>
      <c r="S13" s="989"/>
      <c r="T13" s="989"/>
      <c r="U13" s="989"/>
      <c r="V13" s="989"/>
      <c r="W13" s="989"/>
      <c r="X13" s="989"/>
      <c r="Y13" s="989"/>
      <c r="Z13" s="989"/>
      <c r="AA13" s="990"/>
    </row>
    <row r="14" spans="1:27" ht="27" x14ac:dyDescent="0.2">
      <c r="B14" s="622"/>
      <c r="C14" s="1317" t="s">
        <v>1026</v>
      </c>
      <c r="D14" s="1318"/>
      <c r="E14" s="1319">
        <f>ejercicio</f>
        <v>2020</v>
      </c>
      <c r="F14" s="1320" t="s">
        <v>1034</v>
      </c>
      <c r="G14" s="1321" t="s">
        <v>1035</v>
      </c>
      <c r="H14" s="1321" t="s">
        <v>1036</v>
      </c>
      <c r="I14" s="1322" t="s">
        <v>1037</v>
      </c>
      <c r="J14" s="1319">
        <f>ejercicio</f>
        <v>2020</v>
      </c>
      <c r="K14" s="1523"/>
      <c r="L14" s="626"/>
      <c r="N14" s="987"/>
      <c r="O14" s="989"/>
      <c r="P14" s="989"/>
      <c r="Q14" s="989"/>
      <c r="R14" s="989"/>
      <c r="S14" s="989"/>
      <c r="T14" s="989"/>
      <c r="U14" s="989"/>
      <c r="V14" s="989"/>
      <c r="W14" s="989"/>
      <c r="X14" s="989"/>
      <c r="Y14" s="989"/>
      <c r="Z14" s="989"/>
      <c r="AA14" s="990"/>
    </row>
    <row r="15" spans="1:27" s="1323" customFormat="1" ht="23" customHeight="1" x14ac:dyDescent="0.15">
      <c r="B15" s="638"/>
      <c r="C15" s="1324" t="s">
        <v>1028</v>
      </c>
      <c r="D15" s="1325"/>
      <c r="E15" s="481"/>
      <c r="F15" s="482"/>
      <c r="G15" s="483"/>
      <c r="H15" s="483"/>
      <c r="I15" s="484"/>
      <c r="J15" s="801">
        <f>SUM(E15:I15)</f>
        <v>0</v>
      </c>
      <c r="K15" s="512"/>
      <c r="L15" s="1316"/>
      <c r="N15" s="987"/>
      <c r="O15" s="989"/>
      <c r="P15" s="989"/>
      <c r="Q15" s="989"/>
      <c r="R15" s="989"/>
      <c r="S15" s="989"/>
      <c r="T15" s="989"/>
      <c r="U15" s="989"/>
      <c r="V15" s="989"/>
      <c r="W15" s="989"/>
      <c r="X15" s="989"/>
      <c r="Y15" s="989"/>
      <c r="Z15" s="989"/>
      <c r="AA15" s="990"/>
    </row>
    <row r="16" spans="1:27" ht="23" customHeight="1" x14ac:dyDescent="0.15">
      <c r="B16" s="638"/>
      <c r="C16" s="1326" t="s">
        <v>1029</v>
      </c>
      <c r="D16" s="1327"/>
      <c r="E16" s="485"/>
      <c r="F16" s="486"/>
      <c r="G16" s="487"/>
      <c r="H16" s="487"/>
      <c r="I16" s="488"/>
      <c r="J16" s="806">
        <f>SUM(E16:I16)</f>
        <v>0</v>
      </c>
      <c r="K16" s="1302"/>
      <c r="L16" s="626"/>
      <c r="N16" s="987"/>
      <c r="O16" s="989"/>
      <c r="P16" s="989"/>
      <c r="Q16" s="989"/>
      <c r="R16" s="989"/>
      <c r="S16" s="989"/>
      <c r="T16" s="989"/>
      <c r="U16" s="989"/>
      <c r="V16" s="989"/>
      <c r="W16" s="989"/>
      <c r="X16" s="989"/>
      <c r="Y16" s="989"/>
      <c r="Z16" s="989"/>
      <c r="AA16" s="990"/>
    </row>
    <row r="17" spans="2:27" ht="24" customHeight="1" x14ac:dyDescent="0.15">
      <c r="B17" s="638"/>
      <c r="C17" s="1326" t="s">
        <v>1030</v>
      </c>
      <c r="D17" s="1327"/>
      <c r="E17" s="485"/>
      <c r="F17" s="486"/>
      <c r="G17" s="487"/>
      <c r="H17" s="487"/>
      <c r="I17" s="488"/>
      <c r="J17" s="806">
        <f>SUM(E17:I17)</f>
        <v>0</v>
      </c>
      <c r="K17" s="1302"/>
      <c r="L17" s="626"/>
      <c r="N17" s="987"/>
      <c r="O17" s="989"/>
      <c r="P17" s="989"/>
      <c r="Q17" s="989"/>
      <c r="R17" s="989"/>
      <c r="S17" s="989"/>
      <c r="T17" s="989"/>
      <c r="U17" s="989"/>
      <c r="V17" s="989"/>
      <c r="W17" s="989"/>
      <c r="X17" s="989"/>
      <c r="Y17" s="989"/>
      <c r="Z17" s="989"/>
      <c r="AA17" s="990"/>
    </row>
    <row r="18" spans="2:27" ht="23" customHeight="1" x14ac:dyDescent="0.15">
      <c r="B18" s="638"/>
      <c r="C18" s="1328" t="s">
        <v>1031</v>
      </c>
      <c r="D18" s="1329"/>
      <c r="E18" s="489"/>
      <c r="F18" s="490"/>
      <c r="G18" s="491"/>
      <c r="H18" s="491"/>
      <c r="I18" s="492"/>
      <c r="J18" s="1330">
        <f>SUM(E18:I18)</f>
        <v>0</v>
      </c>
      <c r="K18" s="1303"/>
      <c r="L18" s="626"/>
      <c r="N18" s="987"/>
      <c r="O18" s="989"/>
      <c r="P18" s="989"/>
      <c r="Q18" s="989"/>
      <c r="R18" s="989"/>
      <c r="S18" s="989"/>
      <c r="T18" s="989"/>
      <c r="U18" s="989"/>
      <c r="V18" s="989"/>
      <c r="W18" s="989"/>
      <c r="X18" s="989"/>
      <c r="Y18" s="989"/>
      <c r="Z18" s="989"/>
      <c r="AA18" s="990"/>
    </row>
    <row r="19" spans="2:27" ht="23" customHeight="1" thickBot="1" x14ac:dyDescent="0.2">
      <c r="B19" s="638"/>
      <c r="C19" s="972" t="s">
        <v>394</v>
      </c>
      <c r="D19" s="973"/>
      <c r="E19" s="674">
        <f>SUM(E15:E18)</f>
        <v>0</v>
      </c>
      <c r="F19" s="674">
        <f t="shared" ref="F19:J19" si="0">SUM(F15:F18)</f>
        <v>0</v>
      </c>
      <c r="G19" s="674">
        <f t="shared" si="0"/>
        <v>0</v>
      </c>
      <c r="H19" s="674">
        <f t="shared" si="0"/>
        <v>0</v>
      </c>
      <c r="I19" s="674">
        <f t="shared" si="0"/>
        <v>0</v>
      </c>
      <c r="J19" s="674">
        <f t="shared" si="0"/>
        <v>0</v>
      </c>
      <c r="K19" s="683"/>
      <c r="L19" s="626"/>
      <c r="N19" s="987"/>
      <c r="O19" s="989"/>
      <c r="P19" s="989"/>
      <c r="Q19" s="989"/>
      <c r="R19" s="989"/>
      <c r="S19" s="989"/>
      <c r="T19" s="989"/>
      <c r="U19" s="989"/>
      <c r="V19" s="989"/>
      <c r="W19" s="989"/>
      <c r="X19" s="989"/>
      <c r="Y19" s="989"/>
      <c r="Z19" s="989"/>
      <c r="AA19" s="990"/>
    </row>
    <row r="20" spans="2:27" ht="8" customHeight="1" x14ac:dyDescent="0.15">
      <c r="B20" s="638"/>
      <c r="C20" s="1331"/>
      <c r="D20" s="1331"/>
      <c r="E20" s="980"/>
      <c r="F20" s="980"/>
      <c r="G20" s="980"/>
      <c r="H20" s="980"/>
      <c r="I20" s="980"/>
      <c r="J20" s="980"/>
      <c r="K20" s="980"/>
      <c r="L20" s="626"/>
      <c r="N20" s="987"/>
      <c r="O20" s="989"/>
      <c r="P20" s="989"/>
      <c r="Q20" s="989"/>
      <c r="R20" s="989"/>
      <c r="S20" s="989"/>
      <c r="T20" s="989"/>
      <c r="U20" s="989"/>
      <c r="V20" s="989"/>
      <c r="W20" s="989"/>
      <c r="X20" s="989"/>
      <c r="Y20" s="989"/>
      <c r="Z20" s="989"/>
      <c r="AA20" s="990"/>
    </row>
    <row r="21" spans="2:27" ht="23" customHeight="1" x14ac:dyDescent="0.15">
      <c r="B21" s="638"/>
      <c r="C21" s="1314"/>
      <c r="D21" s="1314"/>
      <c r="E21" s="636"/>
      <c r="F21" s="636"/>
      <c r="G21" s="636"/>
      <c r="H21" s="636"/>
      <c r="I21" s="636"/>
      <c r="J21" s="636"/>
      <c r="K21" s="636"/>
      <c r="L21" s="626"/>
      <c r="N21" s="987"/>
      <c r="O21" s="989"/>
      <c r="P21" s="989"/>
      <c r="Q21" s="989"/>
      <c r="R21" s="989"/>
      <c r="S21" s="989"/>
      <c r="T21" s="989"/>
      <c r="U21" s="989"/>
      <c r="V21" s="989"/>
      <c r="W21" s="989"/>
      <c r="X21" s="989"/>
      <c r="Y21" s="989"/>
      <c r="Z21" s="989"/>
      <c r="AA21" s="990"/>
    </row>
    <row r="22" spans="2:27" ht="23" customHeight="1" x14ac:dyDescent="0.15">
      <c r="B22" s="638"/>
      <c r="C22" s="1517"/>
      <c r="D22" s="1518"/>
      <c r="E22" s="993" t="s">
        <v>1032</v>
      </c>
      <c r="F22" s="1519" t="s">
        <v>396</v>
      </c>
      <c r="G22" s="1520"/>
      <c r="H22" s="1520"/>
      <c r="I22" s="1521"/>
      <c r="J22" s="993" t="s">
        <v>1033</v>
      </c>
      <c r="K22" s="1522" t="s">
        <v>1044</v>
      </c>
      <c r="L22" s="626"/>
      <c r="N22" s="987"/>
      <c r="O22" s="989"/>
      <c r="P22" s="989"/>
      <c r="Q22" s="989"/>
      <c r="R22" s="989"/>
      <c r="S22" s="989"/>
      <c r="T22" s="989"/>
      <c r="U22" s="989"/>
      <c r="V22" s="989"/>
      <c r="W22" s="989"/>
      <c r="X22" s="989"/>
      <c r="Y22" s="989"/>
      <c r="Z22" s="989"/>
      <c r="AA22" s="990"/>
    </row>
    <row r="23" spans="2:27" ht="27" x14ac:dyDescent="0.2">
      <c r="B23" s="638"/>
      <c r="C23" s="1317" t="s">
        <v>1027</v>
      </c>
      <c r="D23" s="1318"/>
      <c r="E23" s="1319">
        <f>ejercicio</f>
        <v>2020</v>
      </c>
      <c r="F23" s="1320" t="s">
        <v>1034</v>
      </c>
      <c r="G23" s="1321" t="s">
        <v>1035</v>
      </c>
      <c r="H23" s="1321" t="s">
        <v>1036</v>
      </c>
      <c r="I23" s="1322" t="s">
        <v>1037</v>
      </c>
      <c r="J23" s="1319">
        <f>ejercicio</f>
        <v>2020</v>
      </c>
      <c r="K23" s="1523"/>
      <c r="L23" s="626"/>
      <c r="N23" s="987"/>
      <c r="O23" s="989"/>
      <c r="P23" s="989"/>
      <c r="Q23" s="989"/>
      <c r="R23" s="989"/>
      <c r="S23" s="989"/>
      <c r="T23" s="989"/>
      <c r="U23" s="989"/>
      <c r="V23" s="989"/>
      <c r="W23" s="989"/>
      <c r="X23" s="989"/>
      <c r="Y23" s="989"/>
      <c r="Z23" s="989"/>
      <c r="AA23" s="990"/>
    </row>
    <row r="24" spans="2:27" ht="23" customHeight="1" x14ac:dyDescent="0.15">
      <c r="B24" s="638"/>
      <c r="C24" s="1324" t="s">
        <v>1038</v>
      </c>
      <c r="D24" s="1325"/>
      <c r="E24" s="481"/>
      <c r="F24" s="482"/>
      <c r="G24" s="483"/>
      <c r="H24" s="483"/>
      <c r="I24" s="484"/>
      <c r="J24" s="801">
        <f>SUM(E24:I24)</f>
        <v>0</v>
      </c>
      <c r="K24" s="512"/>
      <c r="L24" s="626"/>
      <c r="N24" s="987"/>
      <c r="O24" s="989"/>
      <c r="P24" s="989"/>
      <c r="Q24" s="989"/>
      <c r="R24" s="989"/>
      <c r="S24" s="989"/>
      <c r="T24" s="989"/>
      <c r="U24" s="989"/>
      <c r="V24" s="989"/>
      <c r="W24" s="989"/>
      <c r="X24" s="989"/>
      <c r="Y24" s="989"/>
      <c r="Z24" s="989"/>
      <c r="AA24" s="990"/>
    </row>
    <row r="25" spans="2:27" ht="23" customHeight="1" x14ac:dyDescent="0.15">
      <c r="B25" s="638"/>
      <c r="C25" s="1326" t="s">
        <v>1039</v>
      </c>
      <c r="D25" s="1327"/>
      <c r="E25" s="485"/>
      <c r="F25" s="486"/>
      <c r="G25" s="487"/>
      <c r="H25" s="487"/>
      <c r="I25" s="488"/>
      <c r="J25" s="801">
        <f t="shared" ref="J25:J27" si="1">SUM(E25:I25)</f>
        <v>0</v>
      </c>
      <c r="K25" s="1302"/>
      <c r="L25" s="626"/>
      <c r="N25" s="987"/>
      <c r="O25" s="989"/>
      <c r="P25" s="989"/>
      <c r="Q25" s="989"/>
      <c r="R25" s="989"/>
      <c r="S25" s="989"/>
      <c r="T25" s="989"/>
      <c r="U25" s="989"/>
      <c r="V25" s="989"/>
      <c r="W25" s="989"/>
      <c r="X25" s="989"/>
      <c r="Y25" s="989"/>
      <c r="Z25" s="989"/>
      <c r="AA25" s="990"/>
    </row>
    <row r="26" spans="2:27" ht="23" customHeight="1" x14ac:dyDescent="0.15">
      <c r="B26" s="638"/>
      <c r="C26" s="1326" t="s">
        <v>1040</v>
      </c>
      <c r="D26" s="1327"/>
      <c r="E26" s="485"/>
      <c r="F26" s="486"/>
      <c r="G26" s="487"/>
      <c r="H26" s="487"/>
      <c r="I26" s="488"/>
      <c r="J26" s="801">
        <f t="shared" si="1"/>
        <v>0</v>
      </c>
      <c r="K26" s="1226"/>
      <c r="L26" s="626"/>
      <c r="N26" s="987"/>
      <c r="O26" s="989"/>
      <c r="P26" s="989"/>
      <c r="Q26" s="989"/>
      <c r="R26" s="989"/>
      <c r="S26" s="989"/>
      <c r="T26" s="989"/>
      <c r="U26" s="989"/>
      <c r="V26" s="989"/>
      <c r="W26" s="989"/>
      <c r="X26" s="989"/>
      <c r="Y26" s="989"/>
      <c r="Z26" s="989"/>
      <c r="AA26" s="990"/>
    </row>
    <row r="27" spans="2:27" ht="23" customHeight="1" x14ac:dyDescent="0.15">
      <c r="B27" s="638"/>
      <c r="C27" s="1328" t="s">
        <v>1041</v>
      </c>
      <c r="D27" s="1329"/>
      <c r="E27" s="489"/>
      <c r="F27" s="490"/>
      <c r="G27" s="491"/>
      <c r="H27" s="491"/>
      <c r="I27" s="492"/>
      <c r="J27" s="801">
        <f t="shared" si="1"/>
        <v>0</v>
      </c>
      <c r="K27" s="1303"/>
      <c r="L27" s="626"/>
      <c r="N27" s="1332"/>
      <c r="O27" s="1333"/>
      <c r="P27" s="1333"/>
      <c r="Q27" s="1333"/>
      <c r="R27" s="1333"/>
      <c r="S27" s="1333"/>
      <c r="T27" s="1333"/>
      <c r="U27" s="1333"/>
      <c r="V27" s="1333"/>
      <c r="W27" s="1333"/>
      <c r="X27" s="1333"/>
      <c r="Y27" s="1333"/>
      <c r="Z27" s="1333"/>
      <c r="AA27" s="1334"/>
    </row>
    <row r="28" spans="2:27" ht="23" customHeight="1" thickBot="1" x14ac:dyDescent="0.2">
      <c r="B28" s="638"/>
      <c r="C28" s="972" t="s">
        <v>394</v>
      </c>
      <c r="D28" s="973"/>
      <c r="E28" s="674">
        <f t="shared" ref="E28:I28" si="2">SUM(E24:E27)</f>
        <v>0</v>
      </c>
      <c r="F28" s="674">
        <f t="shared" si="2"/>
        <v>0</v>
      </c>
      <c r="G28" s="674">
        <f t="shared" si="2"/>
        <v>0</v>
      </c>
      <c r="H28" s="674">
        <f t="shared" si="2"/>
        <v>0</v>
      </c>
      <c r="I28" s="674">
        <f t="shared" si="2"/>
        <v>0</v>
      </c>
      <c r="J28" s="674">
        <f>SUM(J24:J27)</f>
        <v>0</v>
      </c>
      <c r="K28" s="683"/>
      <c r="L28" s="626"/>
      <c r="N28" s="1332"/>
      <c r="O28" s="1333"/>
      <c r="P28" s="1333"/>
      <c r="Q28" s="1333"/>
      <c r="R28" s="1333"/>
      <c r="S28" s="1333"/>
      <c r="T28" s="1333"/>
      <c r="U28" s="1333"/>
      <c r="V28" s="1333"/>
      <c r="W28" s="1333"/>
      <c r="X28" s="1333"/>
      <c r="Y28" s="1333"/>
      <c r="Z28" s="1333"/>
      <c r="AA28" s="1334"/>
    </row>
    <row r="29" spans="2:27" ht="9" customHeight="1" x14ac:dyDescent="0.15">
      <c r="B29" s="638"/>
      <c r="C29" s="1331"/>
      <c r="D29" s="1331"/>
      <c r="E29" s="980"/>
      <c r="F29" s="980"/>
      <c r="G29" s="980"/>
      <c r="H29" s="980"/>
      <c r="I29" s="980"/>
      <c r="J29" s="980"/>
      <c r="K29" s="980"/>
      <c r="L29" s="626"/>
      <c r="N29" s="987"/>
      <c r="O29" s="989"/>
      <c r="P29" s="989"/>
      <c r="Q29" s="989"/>
      <c r="R29" s="989"/>
      <c r="S29" s="989"/>
      <c r="T29" s="989"/>
      <c r="U29" s="989"/>
      <c r="V29" s="989"/>
      <c r="W29" s="989"/>
      <c r="X29" s="989"/>
      <c r="Y29" s="989"/>
      <c r="Z29" s="989"/>
      <c r="AA29" s="990"/>
    </row>
    <row r="30" spans="2:27" ht="23" customHeight="1" x14ac:dyDescent="0.15">
      <c r="B30" s="638"/>
      <c r="C30" s="1314"/>
      <c r="D30" s="1314"/>
      <c r="E30" s="636"/>
      <c r="F30" s="636"/>
      <c r="G30" s="636"/>
      <c r="H30" s="636"/>
      <c r="I30" s="636"/>
      <c r="J30" s="636"/>
      <c r="K30" s="636"/>
      <c r="L30" s="626"/>
      <c r="N30" s="987"/>
      <c r="O30" s="989"/>
      <c r="P30" s="989"/>
      <c r="Q30" s="989"/>
      <c r="R30" s="989"/>
      <c r="S30" s="989"/>
      <c r="T30" s="989"/>
      <c r="U30" s="989"/>
      <c r="V30" s="989"/>
      <c r="W30" s="989"/>
      <c r="X30" s="989"/>
      <c r="Y30" s="989"/>
      <c r="Z30" s="989"/>
      <c r="AA30" s="990"/>
    </row>
    <row r="31" spans="2:27" ht="23" customHeight="1" x14ac:dyDescent="0.15">
      <c r="B31" s="638"/>
      <c r="C31" s="906" t="s">
        <v>729</v>
      </c>
      <c r="D31" s="1282"/>
      <c r="E31" s="696"/>
      <c r="F31" s="696"/>
      <c r="G31" s="696"/>
      <c r="H31" s="696"/>
      <c r="I31" s="696"/>
      <c r="J31" s="696"/>
      <c r="K31" s="636"/>
      <c r="L31" s="626"/>
      <c r="N31" s="987"/>
      <c r="O31" s="989"/>
      <c r="P31" s="989"/>
      <c r="Q31" s="989"/>
      <c r="R31" s="989"/>
      <c r="S31" s="989"/>
      <c r="T31" s="989"/>
      <c r="U31" s="989"/>
      <c r="V31" s="989"/>
      <c r="W31" s="989"/>
      <c r="X31" s="989"/>
      <c r="Y31" s="989"/>
      <c r="Z31" s="989"/>
      <c r="AA31" s="990"/>
    </row>
    <row r="32" spans="2:27" ht="18" x14ac:dyDescent="0.15">
      <c r="B32" s="638"/>
      <c r="C32" s="907" t="s">
        <v>1042</v>
      </c>
      <c r="D32" s="1282"/>
      <c r="E32" s="696"/>
      <c r="F32" s="696"/>
      <c r="G32" s="696"/>
      <c r="H32" s="696"/>
      <c r="I32" s="696"/>
      <c r="J32" s="696"/>
      <c r="K32" s="636"/>
      <c r="L32" s="626"/>
      <c r="N32" s="1017"/>
      <c r="O32" s="1018"/>
      <c r="P32" s="1018"/>
      <c r="Q32" s="1018"/>
      <c r="R32" s="1018"/>
      <c r="S32" s="1018"/>
      <c r="T32" s="1018"/>
      <c r="U32" s="1018"/>
      <c r="V32" s="1018"/>
      <c r="W32" s="1018"/>
      <c r="X32" s="1018"/>
      <c r="Y32" s="1018"/>
      <c r="Z32" s="1018"/>
      <c r="AA32" s="1019"/>
    </row>
    <row r="33" spans="2:27" ht="9" customHeight="1" x14ac:dyDescent="0.15">
      <c r="B33" s="638"/>
      <c r="C33" s="1012"/>
      <c r="D33" s="1282"/>
      <c r="E33" s="696"/>
      <c r="F33" s="696"/>
      <c r="G33" s="696"/>
      <c r="H33" s="696"/>
      <c r="I33" s="696"/>
      <c r="J33" s="696"/>
      <c r="K33" s="636"/>
      <c r="L33" s="626"/>
      <c r="N33" s="1017"/>
      <c r="O33" s="1018"/>
      <c r="P33" s="1018"/>
      <c r="Q33" s="1018"/>
      <c r="R33" s="1018"/>
      <c r="S33" s="1018"/>
      <c r="T33" s="1018"/>
      <c r="U33" s="1018"/>
      <c r="V33" s="1018"/>
      <c r="W33" s="1018"/>
      <c r="X33" s="1018"/>
      <c r="Y33" s="1018"/>
      <c r="Z33" s="1018"/>
      <c r="AA33" s="1019"/>
    </row>
    <row r="34" spans="2:27" ht="18" x14ac:dyDescent="0.15">
      <c r="B34" s="638"/>
      <c r="C34" s="1012" t="s">
        <v>1043</v>
      </c>
      <c r="D34" s="1282"/>
      <c r="E34" s="696"/>
      <c r="F34" s="696"/>
      <c r="G34" s="696"/>
      <c r="H34" s="696"/>
      <c r="I34" s="696"/>
      <c r="J34" s="696"/>
      <c r="K34" s="636"/>
      <c r="L34" s="626"/>
      <c r="N34" s="1017"/>
      <c r="O34" s="1018"/>
      <c r="P34" s="1018"/>
      <c r="Q34" s="1018"/>
      <c r="R34" s="1018"/>
      <c r="S34" s="1018"/>
      <c r="T34" s="1018"/>
      <c r="U34" s="1018"/>
      <c r="V34" s="1018"/>
      <c r="W34" s="1018"/>
      <c r="X34" s="1018"/>
      <c r="Y34" s="1018"/>
      <c r="Z34" s="1018"/>
      <c r="AA34" s="1019"/>
    </row>
    <row r="35" spans="2:27" ht="23" customHeight="1" thickBot="1" x14ac:dyDescent="0.2">
      <c r="B35" s="697"/>
      <c r="C35" s="1369"/>
      <c r="D35" s="1369"/>
      <c r="E35" s="1369"/>
      <c r="F35" s="1369"/>
      <c r="G35" s="1301"/>
      <c r="H35" s="1301"/>
      <c r="I35" s="1301"/>
      <c r="J35" s="1301"/>
      <c r="K35" s="1304"/>
      <c r="L35" s="699"/>
      <c r="N35" s="1023"/>
      <c r="O35" s="1024"/>
      <c r="P35" s="1024"/>
      <c r="Q35" s="1024"/>
      <c r="R35" s="1024"/>
      <c r="S35" s="1024"/>
      <c r="T35" s="1024"/>
      <c r="U35" s="1024"/>
      <c r="V35" s="1024"/>
      <c r="W35" s="1024"/>
      <c r="X35" s="1024"/>
      <c r="Y35" s="1024"/>
      <c r="Z35" s="1024"/>
      <c r="AA35" s="1025"/>
    </row>
    <row r="36" spans="2:27" ht="23" customHeight="1" x14ac:dyDescent="0.15">
      <c r="C36" s="624"/>
      <c r="D36" s="624"/>
      <c r="E36" s="625"/>
      <c r="F36" s="625"/>
      <c r="G36" s="625"/>
      <c r="H36" s="625"/>
      <c r="I36" s="625"/>
      <c r="J36" s="625"/>
      <c r="K36" s="625"/>
      <c r="M36" s="615" t="s">
        <v>936</v>
      </c>
    </row>
    <row r="37" spans="2:27" ht="13" x14ac:dyDescent="0.15">
      <c r="C37" s="700" t="s">
        <v>70</v>
      </c>
      <c r="D37" s="624"/>
      <c r="E37" s="625"/>
      <c r="F37" s="625"/>
      <c r="G37" s="625"/>
      <c r="H37" s="625"/>
      <c r="I37" s="625"/>
      <c r="J37" s="625"/>
      <c r="K37" s="1026" t="s">
        <v>1047</v>
      </c>
    </row>
    <row r="38" spans="2:27" ht="13" x14ac:dyDescent="0.15">
      <c r="C38" s="702" t="s">
        <v>71</v>
      </c>
      <c r="D38" s="624"/>
      <c r="E38" s="625"/>
      <c r="F38" s="625"/>
      <c r="G38" s="625"/>
      <c r="H38" s="625"/>
      <c r="I38" s="625"/>
      <c r="J38" s="625"/>
      <c r="K38" s="625"/>
    </row>
    <row r="39" spans="2:27" ht="13" x14ac:dyDescent="0.15">
      <c r="C39" s="702" t="s">
        <v>72</v>
      </c>
      <c r="D39" s="624"/>
      <c r="E39" s="625"/>
      <c r="F39" s="625"/>
      <c r="G39" s="625"/>
      <c r="H39" s="625"/>
      <c r="I39" s="625"/>
      <c r="J39" s="625"/>
      <c r="K39" s="625"/>
    </row>
    <row r="40" spans="2:27" ht="13" x14ac:dyDescent="0.15">
      <c r="C40" s="702" t="s">
        <v>73</v>
      </c>
      <c r="D40" s="624"/>
      <c r="E40" s="625"/>
      <c r="F40" s="625"/>
      <c r="G40" s="625"/>
      <c r="H40" s="625"/>
      <c r="I40" s="625"/>
      <c r="J40" s="625"/>
      <c r="K40" s="625"/>
    </row>
    <row r="41" spans="2:27" ht="13" x14ac:dyDescent="0.15">
      <c r="C41" s="702" t="s">
        <v>74</v>
      </c>
      <c r="D41" s="624"/>
      <c r="E41" s="625"/>
      <c r="F41" s="625"/>
      <c r="G41" s="625"/>
      <c r="H41" s="625"/>
      <c r="I41" s="625"/>
      <c r="J41" s="625"/>
      <c r="K41" s="625"/>
    </row>
    <row r="42" spans="2:27" ht="23" customHeight="1" x14ac:dyDescent="0.15">
      <c r="C42" s="624"/>
      <c r="D42" s="624"/>
      <c r="E42" s="625"/>
      <c r="F42" s="625"/>
      <c r="G42" s="625"/>
      <c r="H42" s="625"/>
      <c r="I42" s="625"/>
      <c r="J42" s="625"/>
      <c r="K42" s="625"/>
    </row>
    <row r="43" spans="2:27" ht="23" customHeight="1" x14ac:dyDescent="0.15">
      <c r="C43" s="624"/>
      <c r="D43" s="624"/>
      <c r="E43" s="625"/>
      <c r="F43" s="625"/>
      <c r="G43" s="625"/>
      <c r="H43" s="625"/>
      <c r="I43" s="625"/>
      <c r="J43" s="625"/>
      <c r="K43" s="625"/>
    </row>
    <row r="44" spans="2:27" ht="23" customHeight="1" x14ac:dyDescent="0.15">
      <c r="C44" s="624"/>
      <c r="D44" s="624"/>
      <c r="E44" s="625"/>
      <c r="F44" s="625"/>
      <c r="G44" s="625"/>
      <c r="H44" s="625"/>
      <c r="I44" s="625"/>
      <c r="J44" s="625"/>
      <c r="K44" s="625"/>
    </row>
    <row r="45" spans="2:27" ht="23" customHeight="1" x14ac:dyDescent="0.15">
      <c r="C45" s="624"/>
      <c r="D45" s="624"/>
      <c r="E45" s="625"/>
      <c r="F45" s="625"/>
      <c r="G45" s="625"/>
      <c r="H45" s="625"/>
      <c r="I45" s="625"/>
      <c r="J45" s="625"/>
      <c r="K45" s="625"/>
    </row>
    <row r="46" spans="2:27" ht="23" customHeight="1" x14ac:dyDescent="0.15">
      <c r="F46" s="625"/>
      <c r="G46" s="625"/>
      <c r="H46" s="625"/>
      <c r="I46" s="625"/>
      <c r="J46" s="625"/>
      <c r="K46" s="625"/>
    </row>
  </sheetData>
  <sheetProtection sheet="1" objects="1" scenarios="1"/>
  <mergeCells count="9">
    <mergeCell ref="C35:F35"/>
    <mergeCell ref="K6:K7"/>
    <mergeCell ref="D9:K9"/>
    <mergeCell ref="C13:D13"/>
    <mergeCell ref="F13:I13"/>
    <mergeCell ref="K13:K14"/>
    <mergeCell ref="C22:D22"/>
    <mergeCell ref="F22:I22"/>
    <mergeCell ref="K22:K23"/>
  </mergeCells>
  <printOptions horizontalCentered="1" verticalCentered="1"/>
  <pageMargins left="0.35629921259842523" right="0.35629921259842523" top="0.60629921259842523" bottom="0.60629921259842523" header="0.5" footer="0.5"/>
  <pageSetup paperSize="9" scale="38" orientation="portrait" horizontalDpi="4294967292" verticalDpi="4294967292"/>
  <ignoredErrors>
    <ignoredError sqref="E19" formulaRange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V51"/>
  <sheetViews>
    <sheetView workbookViewId="0">
      <selection activeCell="E29" sqref="E29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28515625" style="96" customWidth="1"/>
    <col min="4" max="4" width="68" style="96" customWidth="1"/>
    <col min="5" max="5" width="17.7109375" style="97" customWidth="1"/>
    <col min="6" max="6" width="12.28515625" style="97" customWidth="1"/>
    <col min="7" max="7" width="3.28515625" style="96" customWidth="1"/>
    <col min="8" max="16384" width="10.7109375" style="96"/>
  </cols>
  <sheetData>
    <row r="2" spans="1:22" ht="23" customHeight="1" x14ac:dyDescent="0.15">
      <c r="D2" s="311" t="str">
        <f>_GENERAL!D2</f>
        <v>Área de Presidencia, Hacienda y Modernización</v>
      </c>
    </row>
    <row r="3" spans="1:22" ht="23" customHeight="1" x14ac:dyDescent="0.15">
      <c r="D3" s="311" t="str">
        <f>_GENERAL!D3</f>
        <v>Dirección Insular de Hacienda</v>
      </c>
    </row>
    <row r="4" spans="1:22" ht="23" customHeight="1" thickBot="1" x14ac:dyDescent="0.2">
      <c r="A4" s="96" t="s">
        <v>935</v>
      </c>
    </row>
    <row r="5" spans="1:22" ht="9" customHeight="1" x14ac:dyDescent="0.15">
      <c r="B5" s="98"/>
      <c r="C5" s="99"/>
      <c r="D5" s="99"/>
      <c r="E5" s="100"/>
      <c r="F5" s="100"/>
      <c r="G5" s="101"/>
      <c r="I5" s="431"/>
      <c r="J5" s="432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3"/>
    </row>
    <row r="6" spans="1:22" ht="30" customHeight="1" x14ac:dyDescent="0.2">
      <c r="B6" s="102"/>
      <c r="C6" s="66" t="s">
        <v>0</v>
      </c>
      <c r="D6" s="103"/>
      <c r="E6" s="104"/>
      <c r="F6" s="1362">
        <f>ejercicio</f>
        <v>2020</v>
      </c>
      <c r="G6" s="105"/>
      <c r="I6" s="434"/>
      <c r="J6" s="435" t="s">
        <v>677</v>
      </c>
      <c r="K6" s="435"/>
      <c r="L6" s="435"/>
      <c r="M6" s="435"/>
      <c r="N6" s="436"/>
      <c r="O6" s="436"/>
      <c r="P6" s="436"/>
      <c r="Q6" s="436"/>
      <c r="R6" s="436"/>
      <c r="S6" s="436"/>
      <c r="T6" s="436"/>
      <c r="U6" s="436"/>
      <c r="V6" s="437"/>
    </row>
    <row r="7" spans="1:22" ht="30" customHeight="1" x14ac:dyDescent="0.2">
      <c r="B7" s="102"/>
      <c r="C7" s="66" t="s">
        <v>1</v>
      </c>
      <c r="D7" s="103"/>
      <c r="E7" s="104"/>
      <c r="F7" s="1362"/>
      <c r="G7" s="105"/>
      <c r="I7" s="434"/>
      <c r="J7" s="436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7"/>
    </row>
    <row r="8" spans="1:22" ht="30" customHeight="1" x14ac:dyDescent="0.15">
      <c r="B8" s="102"/>
      <c r="C8" s="106"/>
      <c r="D8" s="103"/>
      <c r="E8" s="104"/>
      <c r="F8" s="107"/>
      <c r="G8" s="105"/>
      <c r="I8" s="434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7"/>
    </row>
    <row r="9" spans="1:22" s="189" customFormat="1" ht="30" customHeight="1" x14ac:dyDescent="0.2">
      <c r="B9" s="187"/>
      <c r="C9" s="55" t="s">
        <v>2</v>
      </c>
      <c r="D9" s="1376" t="str">
        <f>Entidad</f>
        <v>TEA Tenerife Espacio de las Artes, Entidad Pública Empresarial Local</v>
      </c>
      <c r="E9" s="1376"/>
      <c r="F9" s="1376"/>
      <c r="G9" s="188"/>
      <c r="I9" s="434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7"/>
    </row>
    <row r="10" spans="1:22" ht="7.25" customHeight="1" x14ac:dyDescent="0.15">
      <c r="B10" s="102"/>
      <c r="C10" s="103"/>
      <c r="D10" s="103"/>
      <c r="E10" s="104"/>
      <c r="F10" s="104"/>
      <c r="G10" s="105"/>
      <c r="I10" s="434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7"/>
    </row>
    <row r="11" spans="1:22" s="114" customFormat="1" ht="30" customHeight="1" x14ac:dyDescent="0.2">
      <c r="B11" s="110"/>
      <c r="C11" s="111" t="s">
        <v>587</v>
      </c>
      <c r="D11" s="111"/>
      <c r="E11" s="112"/>
      <c r="F11" s="112"/>
      <c r="G11" s="113"/>
      <c r="I11" s="434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7"/>
    </row>
    <row r="12" spans="1:22" s="114" customFormat="1" ht="30" customHeight="1" x14ac:dyDescent="0.2">
      <c r="B12" s="110"/>
      <c r="C12" s="1447"/>
      <c r="D12" s="1447"/>
      <c r="E12" s="95"/>
      <c r="F12" s="95"/>
      <c r="G12" s="113"/>
      <c r="I12" s="434"/>
      <c r="J12" s="436"/>
      <c r="K12" s="436"/>
      <c r="L12" s="436"/>
      <c r="M12" s="436"/>
      <c r="N12" s="436"/>
      <c r="O12" s="436"/>
      <c r="P12" s="436"/>
      <c r="Q12" s="436"/>
      <c r="R12" s="436"/>
      <c r="S12" s="436"/>
      <c r="T12" s="436"/>
      <c r="U12" s="436"/>
      <c r="V12" s="437"/>
    </row>
    <row r="13" spans="1:22" ht="9" customHeight="1" x14ac:dyDescent="0.15">
      <c r="B13" s="116"/>
      <c r="C13" s="155"/>
      <c r="D13" s="155"/>
      <c r="E13" s="95"/>
      <c r="F13" s="95"/>
      <c r="G13" s="105"/>
      <c r="I13" s="434"/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7"/>
    </row>
    <row r="14" spans="1:22" s="253" customFormat="1" ht="24" customHeight="1" x14ac:dyDescent="0.15">
      <c r="B14" s="250"/>
      <c r="C14" s="1435" t="s">
        <v>443</v>
      </c>
      <c r="D14" s="1437"/>
      <c r="E14" s="269" t="s">
        <v>470</v>
      </c>
      <c r="F14" s="281" t="s">
        <v>588</v>
      </c>
      <c r="G14" s="252"/>
      <c r="I14" s="434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7"/>
    </row>
    <row r="15" spans="1:22" ht="9" customHeight="1" x14ac:dyDescent="0.15">
      <c r="B15" s="116"/>
      <c r="C15" s="65"/>
      <c r="D15" s="155"/>
      <c r="E15" s="95"/>
      <c r="F15" s="257"/>
      <c r="G15" s="105"/>
      <c r="I15" s="434"/>
      <c r="J15" s="436"/>
      <c r="K15" s="436"/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7"/>
    </row>
    <row r="16" spans="1:22" s="297" customFormat="1" ht="23" customHeight="1" x14ac:dyDescent="0.2">
      <c r="B16" s="295"/>
      <c r="C16" s="1524" t="s">
        <v>589</v>
      </c>
      <c r="D16" s="1525"/>
      <c r="E16" s="298">
        <f>SUM(E17:E19)</f>
        <v>0</v>
      </c>
      <c r="F16" s="301">
        <f>E16/$E$33</f>
        <v>0</v>
      </c>
      <c r="G16" s="296"/>
      <c r="I16" s="434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6"/>
      <c r="U16" s="436"/>
      <c r="V16" s="437"/>
    </row>
    <row r="17" spans="2:22" s="189" customFormat="1" ht="23" customHeight="1" x14ac:dyDescent="0.2">
      <c r="B17" s="187"/>
      <c r="C17" s="193" t="s">
        <v>590</v>
      </c>
      <c r="D17" s="266" t="s">
        <v>593</v>
      </c>
      <c r="E17" s="607">
        <f>+'FC-3_1_INF_ADIC_CPyG'!K16+'FC-3_1_INF_ADIC_CPyG'!K19</f>
        <v>0</v>
      </c>
      <c r="F17" s="302">
        <f t="shared" ref="F17:F19" si="0">E17/$E$33</f>
        <v>0</v>
      </c>
      <c r="G17" s="188"/>
      <c r="I17" s="434"/>
      <c r="J17" s="436"/>
      <c r="K17" s="436"/>
      <c r="L17" s="436"/>
      <c r="M17" s="436"/>
      <c r="N17" s="436"/>
      <c r="O17" s="436"/>
      <c r="P17" s="436"/>
      <c r="Q17" s="436"/>
      <c r="R17" s="436"/>
      <c r="S17" s="436"/>
      <c r="T17" s="436"/>
      <c r="U17" s="436"/>
      <c r="V17" s="437"/>
    </row>
    <row r="18" spans="2:22" s="189" customFormat="1" ht="23" customHeight="1" x14ac:dyDescent="0.2">
      <c r="B18" s="187"/>
      <c r="C18" s="193" t="s">
        <v>591</v>
      </c>
      <c r="D18" s="266" t="s">
        <v>594</v>
      </c>
      <c r="E18" s="607">
        <f>+'FC-3_1_INF_ADIC_CPyG'!K31</f>
        <v>0</v>
      </c>
      <c r="F18" s="303">
        <f t="shared" si="0"/>
        <v>0</v>
      </c>
      <c r="G18" s="188"/>
      <c r="I18" s="434"/>
      <c r="J18" s="436"/>
      <c r="K18" s="436"/>
      <c r="L18" s="436"/>
      <c r="M18" s="436"/>
      <c r="N18" s="436"/>
      <c r="O18" s="436"/>
      <c r="P18" s="436"/>
      <c r="Q18" s="436"/>
      <c r="R18" s="436"/>
      <c r="S18" s="436"/>
      <c r="T18" s="436"/>
      <c r="U18" s="436"/>
      <c r="V18" s="437"/>
    </row>
    <row r="19" spans="2:22" s="189" customFormat="1" ht="23" customHeight="1" x14ac:dyDescent="0.2">
      <c r="B19" s="187"/>
      <c r="C19" s="282" t="s">
        <v>592</v>
      </c>
      <c r="D19" s="267" t="s">
        <v>595</v>
      </c>
      <c r="E19" s="516"/>
      <c r="F19" s="304">
        <f t="shared" si="0"/>
        <v>0</v>
      </c>
      <c r="G19" s="188"/>
      <c r="I19" s="434" t="s">
        <v>1001</v>
      </c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6"/>
      <c r="U19" s="436"/>
      <c r="V19" s="437"/>
    </row>
    <row r="20" spans="2:22" s="189" customFormat="1" ht="9" customHeight="1" x14ac:dyDescent="0.2">
      <c r="B20" s="187"/>
      <c r="C20" s="21"/>
      <c r="D20" s="155"/>
      <c r="E20" s="151"/>
      <c r="F20" s="305"/>
      <c r="G20" s="188"/>
      <c r="I20" s="434"/>
      <c r="J20" s="436"/>
      <c r="K20" s="436"/>
      <c r="L20" s="436"/>
      <c r="M20" s="436"/>
      <c r="N20" s="436"/>
      <c r="O20" s="436"/>
      <c r="P20" s="436"/>
      <c r="Q20" s="436"/>
      <c r="R20" s="436"/>
      <c r="S20" s="436"/>
      <c r="T20" s="436"/>
      <c r="U20" s="436"/>
      <c r="V20" s="437"/>
    </row>
    <row r="21" spans="2:22" s="189" customFormat="1" ht="23" customHeight="1" x14ac:dyDescent="0.2">
      <c r="B21" s="187"/>
      <c r="C21" s="1524" t="s">
        <v>596</v>
      </c>
      <c r="D21" s="1525"/>
      <c r="E21" s="1292">
        <f>+'FC-3_1_INF_ADIC_CPyG'!K40</f>
        <v>90000</v>
      </c>
      <c r="F21" s="306">
        <f>E21/$E$33</f>
        <v>4.9535365154760175E-2</v>
      </c>
      <c r="G21" s="188"/>
      <c r="I21" s="434"/>
      <c r="J21" s="436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7"/>
    </row>
    <row r="22" spans="2:22" s="189" customFormat="1" ht="9" customHeight="1" x14ac:dyDescent="0.2">
      <c r="B22" s="187"/>
      <c r="C22" s="21"/>
      <c r="D22" s="155"/>
      <c r="E22" s="151"/>
      <c r="F22" s="305"/>
      <c r="G22" s="188"/>
      <c r="I22" s="434"/>
      <c r="J22" s="436"/>
      <c r="K22" s="436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7"/>
    </row>
    <row r="23" spans="2:22" s="297" customFormat="1" ht="23" customHeight="1" x14ac:dyDescent="0.2">
      <c r="B23" s="295"/>
      <c r="C23" s="1524" t="s">
        <v>597</v>
      </c>
      <c r="D23" s="1525"/>
      <c r="E23" s="298">
        <f>SUM(E24:E26)</f>
        <v>1528883.75</v>
      </c>
      <c r="F23" s="306">
        <f t="shared" ref="F23:F26" si="1">E23/$E$33</f>
        <v>0.84148683150476744</v>
      </c>
      <c r="G23" s="296"/>
      <c r="I23" s="434"/>
      <c r="J23" s="436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7"/>
    </row>
    <row r="24" spans="2:22" s="189" customFormat="1" ht="23" customHeight="1" x14ac:dyDescent="0.2">
      <c r="B24" s="187"/>
      <c r="C24" s="193" t="s">
        <v>590</v>
      </c>
      <c r="D24" s="266" t="s">
        <v>598</v>
      </c>
      <c r="E24" s="607">
        <f>'FC-3_1_INF_ADIC_CPyG'!G81</f>
        <v>1528883.75</v>
      </c>
      <c r="F24" s="302">
        <f t="shared" si="1"/>
        <v>0.84148683150476744</v>
      </c>
      <c r="G24" s="188"/>
      <c r="I24" s="434"/>
      <c r="J24" s="436"/>
      <c r="K24" s="436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7"/>
    </row>
    <row r="25" spans="2:22" s="189" customFormat="1" ht="23" customHeight="1" x14ac:dyDescent="0.2">
      <c r="B25" s="187"/>
      <c r="C25" s="193" t="s">
        <v>591</v>
      </c>
      <c r="D25" s="266" t="s">
        <v>600</v>
      </c>
      <c r="E25" s="607">
        <f>+'FC-3_1_INF_ADIC_CPyG'!G78+'FC-3_1_INF_ADIC_CPyG'!G79+'FC-3_1_INF_ADIC_CPyG'!G80+'FC-3_1_INF_ADIC_CPyG'!G83</f>
        <v>0</v>
      </c>
      <c r="F25" s="303">
        <f t="shared" si="1"/>
        <v>0</v>
      </c>
      <c r="G25" s="188"/>
      <c r="I25" s="434"/>
      <c r="J25" s="436"/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7"/>
    </row>
    <row r="26" spans="2:22" s="189" customFormat="1" ht="23" customHeight="1" x14ac:dyDescent="0.2">
      <c r="B26" s="187"/>
      <c r="C26" s="282" t="s">
        <v>592</v>
      </c>
      <c r="D26" s="267" t="s">
        <v>599</v>
      </c>
      <c r="E26" s="608">
        <f>+'FC-3_1_INF_ADIC_CPyG'!G82</f>
        <v>0</v>
      </c>
      <c r="F26" s="304">
        <f t="shared" si="1"/>
        <v>0</v>
      </c>
      <c r="G26" s="188"/>
      <c r="I26" s="434"/>
      <c r="J26" s="436"/>
      <c r="K26" s="436"/>
      <c r="L26" s="436"/>
      <c r="M26" s="436"/>
      <c r="N26" s="436"/>
      <c r="O26" s="436"/>
      <c r="P26" s="436"/>
      <c r="Q26" s="436"/>
      <c r="R26" s="436"/>
      <c r="S26" s="436"/>
      <c r="T26" s="436"/>
      <c r="U26" s="436"/>
      <c r="V26" s="437"/>
    </row>
    <row r="27" spans="2:22" s="189" customFormat="1" ht="9" customHeight="1" x14ac:dyDescent="0.2">
      <c r="B27" s="187"/>
      <c r="C27" s="21"/>
      <c r="D27" s="155"/>
      <c r="E27" s="151"/>
      <c r="F27" s="305"/>
      <c r="G27" s="188"/>
      <c r="I27" s="434"/>
      <c r="J27" s="436"/>
      <c r="K27" s="436"/>
      <c r="L27" s="436"/>
      <c r="M27" s="436"/>
      <c r="N27" s="436"/>
      <c r="O27" s="436"/>
      <c r="P27" s="436"/>
      <c r="Q27" s="436"/>
      <c r="R27" s="436"/>
      <c r="S27" s="436"/>
      <c r="T27" s="436"/>
      <c r="U27" s="436"/>
      <c r="V27" s="437"/>
    </row>
    <row r="28" spans="2:22" s="297" customFormat="1" ht="23" customHeight="1" x14ac:dyDescent="0.2">
      <c r="B28" s="295"/>
      <c r="C28" s="1524" t="s">
        <v>601</v>
      </c>
      <c r="D28" s="1525"/>
      <c r="E28" s="298">
        <f>SUM(E29:E31)</f>
        <v>198000</v>
      </c>
      <c r="F28" s="306">
        <f t="shared" ref="F28:F31" si="2">E28/$E$33</f>
        <v>0.10897780334047238</v>
      </c>
      <c r="G28" s="296"/>
      <c r="I28" s="434"/>
      <c r="J28" s="436"/>
      <c r="K28" s="436"/>
      <c r="L28" s="436"/>
      <c r="M28" s="436"/>
      <c r="N28" s="436"/>
      <c r="O28" s="436"/>
      <c r="P28" s="436"/>
      <c r="Q28" s="436"/>
      <c r="R28" s="436"/>
      <c r="S28" s="436"/>
      <c r="T28" s="436"/>
      <c r="U28" s="436"/>
      <c r="V28" s="437"/>
    </row>
    <row r="29" spans="2:22" s="189" customFormat="1" ht="23" customHeight="1" x14ac:dyDescent="0.2">
      <c r="B29" s="187"/>
      <c r="C29" s="193" t="s">
        <v>590</v>
      </c>
      <c r="D29" s="1360" t="s">
        <v>1101</v>
      </c>
      <c r="E29" s="513">
        <v>198000</v>
      </c>
      <c r="F29" s="302">
        <f t="shared" si="2"/>
        <v>0.10897780334047238</v>
      </c>
      <c r="G29" s="188"/>
      <c r="I29" s="434" t="s">
        <v>1001</v>
      </c>
      <c r="J29" s="436"/>
      <c r="K29" s="436"/>
      <c r="L29" s="436"/>
      <c r="M29" s="436"/>
      <c r="N29" s="436"/>
      <c r="O29" s="436"/>
      <c r="P29" s="436"/>
      <c r="Q29" s="436"/>
      <c r="R29" s="436"/>
      <c r="S29" s="436"/>
      <c r="T29" s="436"/>
      <c r="U29" s="436"/>
      <c r="V29" s="437"/>
    </row>
    <row r="30" spans="2:22" s="189" customFormat="1" ht="23" customHeight="1" x14ac:dyDescent="0.2">
      <c r="B30" s="187"/>
      <c r="C30" s="193" t="s">
        <v>591</v>
      </c>
      <c r="D30" s="1293"/>
      <c r="E30" s="513"/>
      <c r="F30" s="303">
        <f t="shared" si="2"/>
        <v>0</v>
      </c>
      <c r="G30" s="188"/>
      <c r="I30" s="434" t="s">
        <v>1001</v>
      </c>
      <c r="J30" s="43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7"/>
    </row>
    <row r="31" spans="2:22" s="189" customFormat="1" ht="23" customHeight="1" x14ac:dyDescent="0.2">
      <c r="B31" s="187"/>
      <c r="C31" s="282" t="s">
        <v>592</v>
      </c>
      <c r="D31" s="1291"/>
      <c r="E31" s="516"/>
      <c r="F31" s="304">
        <f t="shared" si="2"/>
        <v>0</v>
      </c>
      <c r="G31" s="188"/>
      <c r="I31" s="434" t="s">
        <v>1001</v>
      </c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7"/>
    </row>
    <row r="32" spans="2:22" s="189" customFormat="1" ht="23" customHeight="1" x14ac:dyDescent="0.2">
      <c r="B32" s="187"/>
      <c r="C32" s="155"/>
      <c r="D32" s="216"/>
      <c r="E32" s="218"/>
      <c r="F32" s="299"/>
      <c r="G32" s="188"/>
      <c r="I32" s="434"/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7"/>
    </row>
    <row r="33" spans="2:22" s="189" customFormat="1" ht="23" customHeight="1" thickBot="1" x14ac:dyDescent="0.25">
      <c r="B33" s="187"/>
      <c r="C33" s="1526" t="s">
        <v>602</v>
      </c>
      <c r="D33" s="1527"/>
      <c r="E33" s="294">
        <f>E28+E23+E21+E16</f>
        <v>1816883.75</v>
      </c>
      <c r="F33" s="300">
        <f>E33/E33</f>
        <v>1</v>
      </c>
      <c r="G33" s="188"/>
      <c r="I33" s="434"/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7"/>
    </row>
    <row r="34" spans="2:22" ht="23" customHeight="1" x14ac:dyDescent="0.15">
      <c r="B34" s="116"/>
      <c r="C34" s="155"/>
      <c r="D34" s="216"/>
      <c r="E34" s="218"/>
      <c r="F34" s="219"/>
      <c r="G34" s="105"/>
      <c r="I34" s="434"/>
      <c r="J34" s="436"/>
      <c r="K34" s="436"/>
      <c r="L34" s="436"/>
      <c r="M34" s="436"/>
      <c r="N34" s="436"/>
      <c r="O34" s="436"/>
      <c r="P34" s="436"/>
      <c r="Q34" s="436"/>
      <c r="R34" s="436"/>
      <c r="S34" s="436"/>
      <c r="T34" s="436"/>
      <c r="U34" s="436"/>
      <c r="V34" s="437"/>
    </row>
    <row r="35" spans="2:22" ht="23" customHeight="1" x14ac:dyDescent="0.15">
      <c r="B35" s="116"/>
      <c r="C35" s="155"/>
      <c r="D35" s="216"/>
      <c r="E35" s="218"/>
      <c r="F35" s="219"/>
      <c r="G35" s="105"/>
      <c r="I35" s="434"/>
      <c r="J35" s="436"/>
      <c r="K35" s="436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7"/>
    </row>
    <row r="36" spans="2:22" ht="23" customHeight="1" x14ac:dyDescent="0.15">
      <c r="B36" s="116"/>
      <c r="C36" s="155"/>
      <c r="D36" s="216"/>
      <c r="E36" s="218"/>
      <c r="F36" s="219"/>
      <c r="G36" s="105"/>
      <c r="I36" s="434"/>
      <c r="J36" s="436"/>
      <c r="K36" s="436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7"/>
    </row>
    <row r="37" spans="2:22" ht="23" customHeight="1" x14ac:dyDescent="0.15">
      <c r="B37" s="116"/>
      <c r="C37" s="155"/>
      <c r="D37" s="216"/>
      <c r="E37" s="218"/>
      <c r="F37" s="219"/>
      <c r="G37" s="105"/>
      <c r="I37" s="434"/>
      <c r="J37" s="436"/>
      <c r="K37" s="436"/>
      <c r="L37" s="436"/>
      <c r="M37" s="436"/>
      <c r="N37" s="436"/>
      <c r="O37" s="436"/>
      <c r="P37" s="436"/>
      <c r="Q37" s="436"/>
      <c r="R37" s="436"/>
      <c r="S37" s="436"/>
      <c r="T37" s="436"/>
      <c r="U37" s="436"/>
      <c r="V37" s="437"/>
    </row>
    <row r="38" spans="2:22" ht="23" customHeight="1" x14ac:dyDescent="0.15">
      <c r="B38" s="116"/>
      <c r="C38" s="155"/>
      <c r="D38" s="216"/>
      <c r="E38" s="218"/>
      <c r="F38" s="219"/>
      <c r="G38" s="105"/>
      <c r="I38" s="434"/>
      <c r="J38" s="436"/>
      <c r="K38" s="436"/>
      <c r="L38" s="436"/>
      <c r="M38" s="436"/>
      <c r="N38" s="436"/>
      <c r="O38" s="436"/>
      <c r="P38" s="436"/>
      <c r="Q38" s="436"/>
      <c r="R38" s="436"/>
      <c r="S38" s="436"/>
      <c r="T38" s="436"/>
      <c r="U38" s="436"/>
      <c r="V38" s="437"/>
    </row>
    <row r="39" spans="2:22" ht="23" customHeight="1" x14ac:dyDescent="0.15">
      <c r="B39" s="116"/>
      <c r="C39" s="216"/>
      <c r="D39" s="216"/>
      <c r="E39" s="217"/>
      <c r="F39" s="95"/>
      <c r="G39" s="105"/>
      <c r="I39" s="434"/>
      <c r="J39" s="436"/>
      <c r="K39" s="436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7"/>
    </row>
    <row r="40" spans="2:22" ht="23" customHeight="1" thickBot="1" x14ac:dyDescent="0.2">
      <c r="B40" s="120"/>
      <c r="C40" s="1375"/>
      <c r="D40" s="1375"/>
      <c r="E40" s="56"/>
      <c r="F40" s="121"/>
      <c r="G40" s="122"/>
      <c r="I40" s="428"/>
      <c r="J40" s="429"/>
      <c r="K40" s="429"/>
      <c r="L40" s="429"/>
      <c r="M40" s="429"/>
      <c r="N40" s="429"/>
      <c r="O40" s="429"/>
      <c r="P40" s="429"/>
      <c r="Q40" s="429"/>
      <c r="R40" s="429"/>
      <c r="S40" s="429"/>
      <c r="T40" s="429"/>
      <c r="U40" s="429"/>
      <c r="V40" s="430"/>
    </row>
    <row r="41" spans="2:22" ht="23" customHeight="1" x14ac:dyDescent="0.15">
      <c r="C41" s="103"/>
      <c r="D41" s="103"/>
      <c r="E41" s="104"/>
      <c r="F41" s="104"/>
      <c r="H41" s="96" t="s">
        <v>936</v>
      </c>
    </row>
    <row r="42" spans="2:22" ht="13" x14ac:dyDescent="0.15">
      <c r="C42" s="123" t="s">
        <v>70</v>
      </c>
      <c r="D42" s="103"/>
      <c r="E42" s="104"/>
      <c r="F42" s="94" t="s">
        <v>66</v>
      </c>
    </row>
    <row r="43" spans="2:22" ht="13" x14ac:dyDescent="0.15">
      <c r="C43" s="124" t="s">
        <v>71</v>
      </c>
      <c r="D43" s="103"/>
      <c r="E43" s="104"/>
      <c r="F43" s="104"/>
    </row>
    <row r="44" spans="2:22" ht="13" x14ac:dyDescent="0.15">
      <c r="C44" s="124" t="s">
        <v>72</v>
      </c>
      <c r="D44" s="103"/>
      <c r="E44" s="104"/>
      <c r="F44" s="104"/>
    </row>
    <row r="45" spans="2:22" ht="13" x14ac:dyDescent="0.15">
      <c r="C45" s="124" t="s">
        <v>73</v>
      </c>
      <c r="D45" s="103"/>
      <c r="E45" s="104"/>
      <c r="F45" s="104"/>
    </row>
    <row r="46" spans="2:22" ht="13" x14ac:dyDescent="0.15">
      <c r="C46" s="124" t="s">
        <v>74</v>
      </c>
      <c r="D46" s="103"/>
      <c r="E46" s="104"/>
      <c r="F46" s="104"/>
    </row>
    <row r="47" spans="2:22" ht="23" customHeight="1" x14ac:dyDescent="0.15">
      <c r="C47" s="103"/>
      <c r="D47" s="103"/>
      <c r="E47" s="104"/>
      <c r="F47" s="104"/>
    </row>
    <row r="48" spans="2:22" ht="23" customHeight="1" x14ac:dyDescent="0.15">
      <c r="C48" s="103"/>
      <c r="D48" s="103"/>
      <c r="E48" s="104"/>
      <c r="F48" s="104"/>
    </row>
    <row r="49" spans="3:6" ht="23" customHeight="1" x14ac:dyDescent="0.15">
      <c r="C49" s="103"/>
      <c r="D49" s="103"/>
      <c r="E49" s="104"/>
      <c r="F49" s="104"/>
    </row>
    <row r="50" spans="3:6" ht="23" customHeight="1" x14ac:dyDescent="0.15">
      <c r="C50" s="103"/>
      <c r="D50" s="103"/>
      <c r="E50" s="104"/>
      <c r="F50" s="104"/>
    </row>
    <row r="51" spans="3:6" ht="23" customHeight="1" x14ac:dyDescent="0.15">
      <c r="E51" s="104"/>
      <c r="F51" s="104"/>
    </row>
  </sheetData>
  <sheetProtection sheet="1" objects="1" scenarios="1"/>
  <mergeCells count="10">
    <mergeCell ref="F6:F7"/>
    <mergeCell ref="D9:F9"/>
    <mergeCell ref="C12:D12"/>
    <mergeCell ref="C14:D14"/>
    <mergeCell ref="C16:D16"/>
    <mergeCell ref="C40:D40"/>
    <mergeCell ref="C23:D23"/>
    <mergeCell ref="C28:D28"/>
    <mergeCell ref="C33:D33"/>
    <mergeCell ref="C21:D21"/>
  </mergeCells>
  <phoneticPr fontId="22" type="noConversion"/>
  <printOptions horizontalCentered="1" verticalCentered="1"/>
  <pageMargins left="0.36000000000000004" right="0.36000000000000004" top="0.6100000000000001" bottom="0.6100000000000001" header="0.5" footer="0.5"/>
  <pageSetup paperSize="9" scale="68" orientation="portrait" horizontalDpi="4294967292" verticalDpi="4294967292"/>
  <ignoredErrors>
    <ignoredError sqref="F16:F33" evalError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2:H75"/>
  <sheetViews>
    <sheetView topLeftCell="A13" workbookViewId="0">
      <selection activeCell="E50" activeCellId="1" sqref="E45 E50"/>
    </sheetView>
  </sheetViews>
  <sheetFormatPr baseColWidth="10" defaultColWidth="10.7109375" defaultRowHeight="23" customHeight="1" x14ac:dyDescent="0.15"/>
  <cols>
    <col min="1" max="1" width="4.28515625" style="96" bestFit="1" customWidth="1"/>
    <col min="2" max="2" width="3.28515625" style="96" customWidth="1"/>
    <col min="3" max="3" width="13.28515625" style="96" customWidth="1"/>
    <col min="4" max="4" width="68" style="96" customWidth="1"/>
    <col min="5" max="5" width="16.7109375" style="97" customWidth="1"/>
    <col min="6" max="6" width="3.28515625" style="96" customWidth="1"/>
    <col min="7" max="16384" width="10.7109375" style="96"/>
  </cols>
  <sheetData>
    <row r="2" spans="1:6" ht="23" customHeight="1" x14ac:dyDescent="0.15">
      <c r="D2" s="311" t="str">
        <f>_GENERAL!D2</f>
        <v>Área de Presidencia, Hacienda y Modernización</v>
      </c>
    </row>
    <row r="3" spans="1:6" ht="23" customHeight="1" x14ac:dyDescent="0.15">
      <c r="D3" s="311" t="str">
        <f>_GENERAL!D3</f>
        <v>Dirección Insular de Hacienda</v>
      </c>
    </row>
    <row r="4" spans="1:6" ht="23" customHeight="1" thickBot="1" x14ac:dyDescent="0.2">
      <c r="A4" s="96" t="s">
        <v>935</v>
      </c>
    </row>
    <row r="5" spans="1:6" ht="9" customHeight="1" x14ac:dyDescent="0.15">
      <c r="B5" s="98"/>
      <c r="C5" s="99"/>
      <c r="D5" s="99"/>
      <c r="E5" s="100"/>
      <c r="F5" s="101"/>
    </row>
    <row r="6" spans="1:6" ht="30" customHeight="1" x14ac:dyDescent="0.2">
      <c r="B6" s="102"/>
      <c r="C6" s="66" t="s">
        <v>0</v>
      </c>
      <c r="D6" s="103"/>
      <c r="E6" s="1362">
        <f>ejercicio</f>
        <v>2020</v>
      </c>
      <c r="F6" s="105"/>
    </row>
    <row r="7" spans="1:6" ht="30" customHeight="1" x14ac:dyDescent="0.2">
      <c r="B7" s="102"/>
      <c r="C7" s="66" t="s">
        <v>1</v>
      </c>
      <c r="D7" s="103"/>
      <c r="E7" s="1362"/>
      <c r="F7" s="105"/>
    </row>
    <row r="8" spans="1:6" ht="30" customHeight="1" x14ac:dyDescent="0.15">
      <c r="B8" s="102"/>
      <c r="C8" s="106"/>
      <c r="D8" s="103"/>
      <c r="E8" s="107"/>
      <c r="F8" s="105"/>
    </row>
    <row r="9" spans="1:6" s="189" customFormat="1" ht="30" customHeight="1" x14ac:dyDescent="0.2">
      <c r="B9" s="187"/>
      <c r="C9" s="55" t="s">
        <v>2</v>
      </c>
      <c r="D9" s="1376" t="str">
        <f>Entidad</f>
        <v>TEA Tenerife Espacio de las Artes, Entidad Pública Empresarial Local</v>
      </c>
      <c r="E9" s="1376"/>
      <c r="F9" s="188"/>
    </row>
    <row r="10" spans="1:6" ht="7.25" customHeight="1" x14ac:dyDescent="0.15">
      <c r="B10" s="102"/>
      <c r="C10" s="103"/>
      <c r="D10" s="103"/>
      <c r="E10" s="104"/>
      <c r="F10" s="105"/>
    </row>
    <row r="11" spans="1:6" s="114" customFormat="1" ht="30" customHeight="1" x14ac:dyDescent="0.2">
      <c r="B11" s="110"/>
      <c r="C11" s="111" t="s">
        <v>603</v>
      </c>
      <c r="D11" s="111"/>
      <c r="E11" s="112"/>
      <c r="F11" s="113"/>
    </row>
    <row r="12" spans="1:6" s="114" customFormat="1" ht="30" customHeight="1" x14ac:dyDescent="0.2">
      <c r="B12" s="110"/>
      <c r="C12" s="1447"/>
      <c r="D12" s="1447"/>
      <c r="E12" s="95"/>
      <c r="F12" s="113"/>
    </row>
    <row r="13" spans="1:6" ht="9" customHeight="1" x14ac:dyDescent="0.15">
      <c r="B13" s="116"/>
      <c r="C13" s="155"/>
      <c r="D13" s="155"/>
      <c r="E13" s="95"/>
      <c r="F13" s="105"/>
    </row>
    <row r="14" spans="1:6" s="253" customFormat="1" ht="24" customHeight="1" x14ac:dyDescent="0.2">
      <c r="B14" s="250"/>
      <c r="C14" s="1435" t="s">
        <v>618</v>
      </c>
      <c r="D14" s="1437"/>
      <c r="E14" s="269" t="s">
        <v>470</v>
      </c>
      <c r="F14" s="252"/>
    </row>
    <row r="15" spans="1:6" ht="9" customHeight="1" x14ac:dyDescent="0.15">
      <c r="B15" s="116"/>
      <c r="C15" s="65"/>
      <c r="D15" s="155"/>
      <c r="E15" s="95"/>
      <c r="F15" s="105"/>
    </row>
    <row r="16" spans="1:6" s="189" customFormat="1" ht="23" customHeight="1" x14ac:dyDescent="0.2">
      <c r="B16" s="187"/>
      <c r="C16" s="292" t="s">
        <v>182</v>
      </c>
      <c r="D16" s="231" t="s">
        <v>604</v>
      </c>
      <c r="E16" s="173">
        <f>'_FC-90_DETALLE'!H16</f>
        <v>0</v>
      </c>
      <c r="F16" s="188"/>
    </row>
    <row r="17" spans="2:6" s="189" customFormat="1" ht="23" customHeight="1" x14ac:dyDescent="0.2">
      <c r="B17" s="187"/>
      <c r="C17" s="193" t="s">
        <v>192</v>
      </c>
      <c r="D17" s="266" t="s">
        <v>605</v>
      </c>
      <c r="E17" s="194">
        <f>'_FC-90_DETALLE'!H17</f>
        <v>0</v>
      </c>
      <c r="F17" s="188"/>
    </row>
    <row r="18" spans="2:6" s="189" customFormat="1" ht="23" customHeight="1" x14ac:dyDescent="0.2">
      <c r="B18" s="187"/>
      <c r="C18" s="193" t="s">
        <v>197</v>
      </c>
      <c r="D18" s="266" t="s">
        <v>606</v>
      </c>
      <c r="E18" s="194">
        <f>'_FC-90_DETALLE'!H18</f>
        <v>90000</v>
      </c>
      <c r="F18" s="188"/>
    </row>
    <row r="19" spans="2:6" s="189" customFormat="1" ht="23" customHeight="1" x14ac:dyDescent="0.2">
      <c r="B19" s="187"/>
      <c r="C19" s="193" t="s">
        <v>201</v>
      </c>
      <c r="D19" s="266" t="s">
        <v>607</v>
      </c>
      <c r="E19" s="194">
        <f>'_FC-90_DETALLE'!H26</f>
        <v>2962044.1799999997</v>
      </c>
      <c r="F19" s="188"/>
    </row>
    <row r="20" spans="2:6" s="189" customFormat="1" ht="23" customHeight="1" x14ac:dyDescent="0.2">
      <c r="B20" s="187"/>
      <c r="C20" s="282" t="s">
        <v>209</v>
      </c>
      <c r="D20" s="267" t="s">
        <v>608</v>
      </c>
      <c r="E20" s="174">
        <f>'_FC-90_DETALLE'!H31</f>
        <v>198000</v>
      </c>
      <c r="F20" s="188"/>
    </row>
    <row r="21" spans="2:6" s="189" customFormat="1" ht="23" customHeight="1" x14ac:dyDescent="0.2">
      <c r="B21" s="187"/>
      <c r="C21" s="1524" t="s">
        <v>609</v>
      </c>
      <c r="D21" s="1525"/>
      <c r="E21" s="298">
        <f>SUM(E16:E20)</f>
        <v>3250044.1799999997</v>
      </c>
      <c r="F21" s="188"/>
    </row>
    <row r="22" spans="2:6" s="189" customFormat="1" ht="9" customHeight="1" x14ac:dyDescent="0.2">
      <c r="B22" s="187"/>
      <c r="C22" s="21"/>
      <c r="D22" s="155"/>
      <c r="E22" s="151"/>
      <c r="F22" s="188"/>
    </row>
    <row r="23" spans="2:6" s="189" customFormat="1" ht="23" customHeight="1" x14ac:dyDescent="0.2">
      <c r="B23" s="187"/>
      <c r="C23" s="292" t="s">
        <v>212</v>
      </c>
      <c r="D23" s="231" t="s">
        <v>610</v>
      </c>
      <c r="E23" s="173">
        <f>'_FC-90_DETALLE'!H41</f>
        <v>0</v>
      </c>
      <c r="F23" s="188"/>
    </row>
    <row r="24" spans="2:6" s="189" customFormat="1" ht="23" customHeight="1" x14ac:dyDescent="0.2">
      <c r="B24" s="187"/>
      <c r="C24" s="193" t="s">
        <v>214</v>
      </c>
      <c r="D24" s="266" t="s">
        <v>611</v>
      </c>
      <c r="E24" s="194">
        <f>'_FC-90_DETALLE'!H45</f>
        <v>273352.5</v>
      </c>
      <c r="F24" s="188"/>
    </row>
    <row r="25" spans="2:6" s="189" customFormat="1" ht="23" customHeight="1" x14ac:dyDescent="0.2">
      <c r="B25" s="187"/>
      <c r="C25" s="1524" t="s">
        <v>612</v>
      </c>
      <c r="D25" s="1525"/>
      <c r="E25" s="298">
        <f>SUM(E23:E24)</f>
        <v>273352.5</v>
      </c>
      <c r="F25" s="188"/>
    </row>
    <row r="26" spans="2:6" s="189" customFormat="1" ht="9" customHeight="1" x14ac:dyDescent="0.2">
      <c r="B26" s="187"/>
      <c r="C26" s="21"/>
      <c r="D26" s="155"/>
      <c r="E26" s="151"/>
      <c r="F26" s="188"/>
    </row>
    <row r="27" spans="2:6" s="189" customFormat="1" ht="23" customHeight="1" x14ac:dyDescent="0.2">
      <c r="B27" s="187"/>
      <c r="C27" s="292" t="s">
        <v>265</v>
      </c>
      <c r="D27" s="231" t="s">
        <v>613</v>
      </c>
      <c r="E27" s="173">
        <f>'_FC-90_DETALLE'!H52</f>
        <v>0</v>
      </c>
      <c r="F27" s="188"/>
    </row>
    <row r="28" spans="2:6" s="189" customFormat="1" ht="23" customHeight="1" x14ac:dyDescent="0.2">
      <c r="B28" s="187"/>
      <c r="C28" s="193" t="s">
        <v>267</v>
      </c>
      <c r="D28" s="266" t="s">
        <v>614</v>
      </c>
      <c r="E28" s="194">
        <f>'_FC-90_DETALLE'!H59</f>
        <v>0</v>
      </c>
      <c r="F28" s="188"/>
    </row>
    <row r="29" spans="2:6" s="189" customFormat="1" ht="23" customHeight="1" x14ac:dyDescent="0.2">
      <c r="B29" s="187"/>
      <c r="C29" s="1524" t="s">
        <v>615</v>
      </c>
      <c r="D29" s="1525"/>
      <c r="E29" s="298">
        <f>SUM(E27:E28)</f>
        <v>0</v>
      </c>
      <c r="F29" s="188"/>
    </row>
    <row r="30" spans="2:6" s="189" customFormat="1" ht="23" customHeight="1" x14ac:dyDescent="0.2">
      <c r="B30" s="187"/>
      <c r="C30" s="155"/>
      <c r="D30" s="216"/>
      <c r="E30" s="218"/>
      <c r="F30" s="188"/>
    </row>
    <row r="31" spans="2:6" s="308" customFormat="1" ht="23" customHeight="1" thickBot="1" x14ac:dyDescent="0.25">
      <c r="B31" s="110"/>
      <c r="C31" s="1528" t="s">
        <v>616</v>
      </c>
      <c r="D31" s="1529"/>
      <c r="E31" s="307">
        <f>E21+E25+E29</f>
        <v>3523396.6799999997</v>
      </c>
      <c r="F31" s="113"/>
    </row>
    <row r="32" spans="2:6" s="189" customFormat="1" ht="9" customHeight="1" x14ac:dyDescent="0.2">
      <c r="B32" s="187"/>
      <c r="C32" s="21"/>
      <c r="D32" s="155"/>
      <c r="E32" s="151"/>
      <c r="F32" s="188"/>
    </row>
    <row r="33" spans="2:6" s="189" customFormat="1" ht="23" customHeight="1" x14ac:dyDescent="0.2">
      <c r="B33" s="187"/>
      <c r="C33" s="1524" t="s">
        <v>617</v>
      </c>
      <c r="D33" s="1525"/>
      <c r="E33" s="298">
        <f>'_FC-90_DETALLE'!H72</f>
        <v>18949.310000000001</v>
      </c>
      <c r="F33" s="188"/>
    </row>
    <row r="34" spans="2:6" s="189" customFormat="1" ht="9" customHeight="1" x14ac:dyDescent="0.2">
      <c r="B34" s="187"/>
      <c r="C34" s="21"/>
      <c r="D34" s="1240"/>
      <c r="E34" s="151"/>
      <c r="F34" s="188"/>
    </row>
    <row r="35" spans="2:6" s="308" customFormat="1" ht="23" customHeight="1" thickBot="1" x14ac:dyDescent="0.25">
      <c r="B35" s="110"/>
      <c r="C35" s="1528" t="s">
        <v>616</v>
      </c>
      <c r="D35" s="1529"/>
      <c r="E35" s="307">
        <f>E31+E33</f>
        <v>3542345.9899999998</v>
      </c>
      <c r="F35" s="113"/>
    </row>
    <row r="36" spans="2:6" s="189" customFormat="1" ht="23" customHeight="1" x14ac:dyDescent="0.2">
      <c r="B36" s="187"/>
      <c r="C36" s="309"/>
      <c r="D36" s="309"/>
      <c r="E36" s="310"/>
      <c r="F36" s="188"/>
    </row>
    <row r="37" spans="2:6" s="253" customFormat="1" ht="24" customHeight="1" x14ac:dyDescent="0.2">
      <c r="B37" s="250"/>
      <c r="C37" s="1435" t="s">
        <v>619</v>
      </c>
      <c r="D37" s="1437"/>
      <c r="E37" s="269" t="s">
        <v>470</v>
      </c>
      <c r="F37" s="252"/>
    </row>
    <row r="38" spans="2:6" ht="9" customHeight="1" x14ac:dyDescent="0.15">
      <c r="B38" s="116"/>
      <c r="C38" s="65"/>
      <c r="D38" s="155"/>
      <c r="E38" s="95"/>
      <c r="F38" s="105"/>
    </row>
    <row r="39" spans="2:6" s="189" customFormat="1" ht="23" customHeight="1" x14ac:dyDescent="0.2">
      <c r="B39" s="187"/>
      <c r="C39" s="292" t="s">
        <v>182</v>
      </c>
      <c r="D39" s="231" t="s">
        <v>620</v>
      </c>
      <c r="E39" s="173">
        <f>'_FC-90_DETALLE'!H88</f>
        <v>693936.78</v>
      </c>
      <c r="F39" s="188"/>
    </row>
    <row r="40" spans="2:6" s="189" customFormat="1" ht="23" customHeight="1" x14ac:dyDescent="0.2">
      <c r="B40" s="187"/>
      <c r="C40" s="193" t="s">
        <v>192</v>
      </c>
      <c r="D40" s="266" t="s">
        <v>621</v>
      </c>
      <c r="E40" s="194">
        <f>'_FC-90_DETALLE'!H93</f>
        <v>2523394.0499999998</v>
      </c>
      <c r="F40" s="188"/>
    </row>
    <row r="41" spans="2:6" s="189" customFormat="1" ht="23" customHeight="1" x14ac:dyDescent="0.2">
      <c r="B41" s="187"/>
      <c r="C41" s="193" t="s">
        <v>197</v>
      </c>
      <c r="D41" s="266" t="s">
        <v>386</v>
      </c>
      <c r="E41" s="194">
        <f>'_FC-90_DETALLE'!H106</f>
        <v>0</v>
      </c>
      <c r="F41" s="188"/>
    </row>
    <row r="42" spans="2:6" s="189" customFormat="1" ht="23" customHeight="1" x14ac:dyDescent="0.2">
      <c r="B42" s="187"/>
      <c r="C42" s="193" t="s">
        <v>201</v>
      </c>
      <c r="D42" s="266" t="s">
        <v>622</v>
      </c>
      <c r="E42" s="194">
        <f>'_FC-90_DETALLE'!H112</f>
        <v>0</v>
      </c>
      <c r="F42" s="188"/>
    </row>
    <row r="43" spans="2:6" s="189" customFormat="1" ht="23" customHeight="1" x14ac:dyDescent="0.2">
      <c r="B43" s="187"/>
      <c r="C43" s="1524" t="s">
        <v>623</v>
      </c>
      <c r="D43" s="1525"/>
      <c r="E43" s="298">
        <f>SUM(E39:E42)</f>
        <v>3217330.83</v>
      </c>
      <c r="F43" s="188"/>
    </row>
    <row r="44" spans="2:6" s="189" customFormat="1" ht="9" customHeight="1" x14ac:dyDescent="0.2">
      <c r="B44" s="187"/>
      <c r="C44" s="21"/>
      <c r="D44" s="155"/>
      <c r="E44" s="151"/>
      <c r="F44" s="188"/>
    </row>
    <row r="45" spans="2:6" s="189" customFormat="1" ht="23" customHeight="1" x14ac:dyDescent="0.2">
      <c r="B45" s="187"/>
      <c r="C45" s="292" t="s">
        <v>212</v>
      </c>
      <c r="D45" s="231" t="s">
        <v>624</v>
      </c>
      <c r="E45" s="173">
        <f>'_FC-90_DETALLE'!H118</f>
        <v>30000</v>
      </c>
      <c r="F45" s="188"/>
    </row>
    <row r="46" spans="2:6" s="189" customFormat="1" ht="23" customHeight="1" x14ac:dyDescent="0.2">
      <c r="B46" s="187"/>
      <c r="C46" s="193" t="s">
        <v>214</v>
      </c>
      <c r="D46" s="266" t="s">
        <v>611</v>
      </c>
      <c r="E46" s="194">
        <f>'_FC-90_DETALLE'!H123</f>
        <v>0</v>
      </c>
      <c r="F46" s="188"/>
    </row>
    <row r="47" spans="2:6" s="189" customFormat="1" ht="23" customHeight="1" x14ac:dyDescent="0.2">
      <c r="B47" s="187"/>
      <c r="C47" s="1524" t="s">
        <v>625</v>
      </c>
      <c r="D47" s="1525"/>
      <c r="E47" s="298">
        <f>SUM(E45:E46)</f>
        <v>30000</v>
      </c>
      <c r="F47" s="188"/>
    </row>
    <row r="48" spans="2:6" s="189" customFormat="1" ht="9" customHeight="1" x14ac:dyDescent="0.2">
      <c r="B48" s="187"/>
      <c r="C48" s="21"/>
      <c r="D48" s="155"/>
      <c r="E48" s="151"/>
      <c r="F48" s="188"/>
    </row>
    <row r="49" spans="2:8" s="189" customFormat="1" ht="23" customHeight="1" x14ac:dyDescent="0.2">
      <c r="B49" s="187"/>
      <c r="C49" s="292" t="s">
        <v>265</v>
      </c>
      <c r="D49" s="231" t="s">
        <v>613</v>
      </c>
      <c r="E49" s="173">
        <f>'_FC-90_DETALLE'!H129</f>
        <v>0</v>
      </c>
      <c r="F49" s="188"/>
    </row>
    <row r="50" spans="2:8" s="189" customFormat="1" ht="23" customHeight="1" x14ac:dyDescent="0.2">
      <c r="B50" s="187"/>
      <c r="C50" s="193" t="s">
        <v>267</v>
      </c>
      <c r="D50" s="266" t="s">
        <v>614</v>
      </c>
      <c r="E50" s="194">
        <f>'_FC-90_DETALLE'!H136</f>
        <v>228500</v>
      </c>
      <c r="F50" s="188"/>
    </row>
    <row r="51" spans="2:8" s="189" customFormat="1" ht="23" customHeight="1" x14ac:dyDescent="0.2">
      <c r="B51" s="187"/>
      <c r="C51" s="1524" t="s">
        <v>626</v>
      </c>
      <c r="D51" s="1525"/>
      <c r="E51" s="298">
        <f>SUM(E49:E50)</f>
        <v>228500</v>
      </c>
      <c r="F51" s="188"/>
    </row>
    <row r="52" spans="2:8" s="189" customFormat="1" ht="9" customHeight="1" x14ac:dyDescent="0.2">
      <c r="B52" s="187"/>
      <c r="C52" s="155"/>
      <c r="D52" s="216"/>
      <c r="E52" s="218"/>
      <c r="F52" s="188"/>
    </row>
    <row r="53" spans="2:8" s="308" customFormat="1" ht="23" customHeight="1" thickBot="1" x14ac:dyDescent="0.25">
      <c r="B53" s="110"/>
      <c r="C53" s="1528" t="s">
        <v>627</v>
      </c>
      <c r="D53" s="1529"/>
      <c r="E53" s="307">
        <f>E43+E47+E51</f>
        <v>3475830.83</v>
      </c>
      <c r="F53" s="113"/>
    </row>
    <row r="54" spans="2:8" s="189" customFormat="1" ht="9" customHeight="1" x14ac:dyDescent="0.2">
      <c r="B54" s="187"/>
      <c r="C54" s="21"/>
      <c r="D54" s="155"/>
      <c r="E54" s="151"/>
      <c r="F54" s="188"/>
    </row>
    <row r="55" spans="2:8" s="189" customFormat="1" ht="24" customHeight="1" x14ac:dyDescent="0.2">
      <c r="B55" s="187"/>
      <c r="C55" s="1524" t="s">
        <v>628</v>
      </c>
      <c r="D55" s="1525"/>
      <c r="E55" s="298">
        <f>'_FC-90_DETALLE'!H152</f>
        <v>51662.66</v>
      </c>
      <c r="F55" s="188"/>
    </row>
    <row r="56" spans="2:8" s="189" customFormat="1" ht="9" customHeight="1" x14ac:dyDescent="0.2">
      <c r="B56" s="187"/>
      <c r="C56" s="21"/>
      <c r="D56" s="1240"/>
      <c r="E56" s="151"/>
      <c r="F56" s="188"/>
    </row>
    <row r="57" spans="2:8" s="189" customFormat="1" ht="24" customHeight="1" thickBot="1" x14ac:dyDescent="0.25">
      <c r="B57" s="187"/>
      <c r="C57" s="1528" t="s">
        <v>627</v>
      </c>
      <c r="D57" s="1529"/>
      <c r="E57" s="307">
        <f>E53+E55</f>
        <v>3527493.49</v>
      </c>
      <c r="F57" s="188"/>
    </row>
    <row r="58" spans="2:8" s="189" customFormat="1" ht="24" customHeight="1" x14ac:dyDescent="0.2">
      <c r="B58" s="187"/>
      <c r="C58" s="21"/>
      <c r="D58" s="1240"/>
      <c r="E58" s="151"/>
      <c r="F58" s="188"/>
    </row>
    <row r="59" spans="2:8" s="189" customFormat="1" ht="24" customHeight="1" thickBot="1" x14ac:dyDescent="0.25">
      <c r="B59" s="187"/>
      <c r="C59" s="1241" t="s">
        <v>998</v>
      </c>
      <c r="D59" s="1242"/>
      <c r="E59" s="1243">
        <f>E35-E57</f>
        <v>14852.499999999534</v>
      </c>
      <c r="F59" s="188"/>
    </row>
    <row r="60" spans="2:8" s="189" customFormat="1" ht="24" customHeight="1" thickTop="1" x14ac:dyDescent="0.2">
      <c r="B60" s="187"/>
      <c r="C60" s="21"/>
      <c r="D60" s="1240"/>
      <c r="E60" s="151"/>
      <c r="F60" s="188"/>
    </row>
    <row r="61" spans="2:8" s="189" customFormat="1" ht="24" customHeight="1" thickBot="1" x14ac:dyDescent="0.25">
      <c r="B61" s="187"/>
      <c r="C61" s="1241" t="s">
        <v>999</v>
      </c>
      <c r="D61" s="1242"/>
      <c r="E61" s="1243">
        <f>'_FC-90_DETALLE'!H170</f>
        <v>-14852.499999999933</v>
      </c>
      <c r="F61" s="188"/>
    </row>
    <row r="62" spans="2:8" s="189" customFormat="1" ht="24" customHeight="1" thickTop="1" x14ac:dyDescent="0.2">
      <c r="B62" s="187"/>
      <c r="C62" s="21"/>
      <c r="D62" s="1240"/>
      <c r="E62" s="151"/>
      <c r="F62" s="188"/>
    </row>
    <row r="63" spans="2:8" s="189" customFormat="1" ht="24" customHeight="1" thickBot="1" x14ac:dyDescent="0.25">
      <c r="B63" s="187"/>
      <c r="C63" s="1241" t="s">
        <v>1000</v>
      </c>
      <c r="D63" s="1242"/>
      <c r="E63" s="1243">
        <f>+E59+E61</f>
        <v>-3.9835867937654257E-10</v>
      </c>
      <c r="F63" s="188"/>
    </row>
    <row r="64" spans="2:8" ht="23" customHeight="1" thickTop="1" thickBot="1" x14ac:dyDescent="0.25">
      <c r="B64" s="120"/>
      <c r="C64" s="1375"/>
      <c r="D64" s="1375"/>
      <c r="E64" s="121"/>
      <c r="F64" s="122"/>
      <c r="H64" s="189"/>
    </row>
    <row r="65" spans="3:7" ht="23" customHeight="1" x14ac:dyDescent="0.15">
      <c r="C65" s="103"/>
      <c r="D65" s="103"/>
      <c r="E65" s="104"/>
      <c r="G65" s="96" t="s">
        <v>936</v>
      </c>
    </row>
    <row r="66" spans="3:7" ht="13" x14ac:dyDescent="0.15">
      <c r="C66" s="123" t="s">
        <v>70</v>
      </c>
      <c r="D66" s="103"/>
      <c r="E66" s="94" t="s">
        <v>66</v>
      </c>
    </row>
    <row r="67" spans="3:7" ht="13" x14ac:dyDescent="0.15">
      <c r="C67" s="124" t="s">
        <v>71</v>
      </c>
      <c r="D67" s="103"/>
      <c r="E67" s="104"/>
    </row>
    <row r="68" spans="3:7" ht="13" x14ac:dyDescent="0.15">
      <c r="C68" s="124" t="s">
        <v>72</v>
      </c>
      <c r="D68" s="103"/>
      <c r="E68" s="104"/>
    </row>
    <row r="69" spans="3:7" ht="13" x14ac:dyDescent="0.15">
      <c r="C69" s="124" t="s">
        <v>73</v>
      </c>
      <c r="D69" s="103"/>
      <c r="E69" s="104"/>
    </row>
    <row r="70" spans="3:7" ht="13" x14ac:dyDescent="0.15">
      <c r="C70" s="124" t="s">
        <v>74</v>
      </c>
      <c r="D70" s="103"/>
      <c r="E70" s="104"/>
    </row>
    <row r="71" spans="3:7" ht="23" customHeight="1" x14ac:dyDescent="0.15">
      <c r="C71" s="103"/>
      <c r="D71" s="103"/>
      <c r="E71" s="104"/>
    </row>
    <row r="72" spans="3:7" ht="23" customHeight="1" x14ac:dyDescent="0.15">
      <c r="C72" s="103"/>
      <c r="D72" s="103"/>
      <c r="E72" s="104"/>
    </row>
    <row r="73" spans="3:7" ht="23" customHeight="1" x14ac:dyDescent="0.15">
      <c r="C73" s="103"/>
      <c r="D73" s="103"/>
      <c r="E73" s="104"/>
    </row>
    <row r="74" spans="3:7" ht="23" customHeight="1" x14ac:dyDescent="0.15">
      <c r="C74" s="103"/>
      <c r="D74" s="103"/>
      <c r="E74" s="104"/>
    </row>
    <row r="75" spans="3:7" ht="23" customHeight="1" x14ac:dyDescent="0.15">
      <c r="E75" s="104"/>
    </row>
  </sheetData>
  <sheetProtection sheet="1" objects="1" scenarios="1"/>
  <mergeCells count="18">
    <mergeCell ref="C25:D25"/>
    <mergeCell ref="E6:E7"/>
    <mergeCell ref="D9:E9"/>
    <mergeCell ref="C12:D12"/>
    <mergeCell ref="C14:D14"/>
    <mergeCell ref="C21:D21"/>
    <mergeCell ref="C47:D47"/>
    <mergeCell ref="C51:D51"/>
    <mergeCell ref="C53:D53"/>
    <mergeCell ref="C64:D64"/>
    <mergeCell ref="C29:D29"/>
    <mergeCell ref="C31:D31"/>
    <mergeCell ref="C37:D37"/>
    <mergeCell ref="C43:D43"/>
    <mergeCell ref="C33:D33"/>
    <mergeCell ref="C35:D35"/>
    <mergeCell ref="C55:D55"/>
    <mergeCell ref="C57:D57"/>
  </mergeCells>
  <phoneticPr fontId="22" type="noConversion"/>
  <printOptions horizontalCentered="1" verticalCentered="1"/>
  <pageMargins left="0.36000000000000004" right="0.36000000000000004" top="0.6100000000000001" bottom="0.6100000000000001" header="0.5" footer="0.5"/>
  <pageSetup paperSize="9" scale="53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B1:M223"/>
  <sheetViews>
    <sheetView workbookViewId="0">
      <pane xSplit="4" ySplit="14" topLeftCell="E59" activePane="bottomRight" state="frozen"/>
      <selection pane="topRight" activeCell="E1" sqref="E1"/>
      <selection pane="bottomLeft" activeCell="A15" sqref="A15"/>
      <selection pane="bottomRight" activeCell="A89" sqref="A89:XFD92"/>
    </sheetView>
  </sheetViews>
  <sheetFormatPr baseColWidth="10" defaultColWidth="10.7109375" defaultRowHeight="23" customHeight="1" x14ac:dyDescent="0.15"/>
  <cols>
    <col min="1" max="2" width="3.28515625" style="617" customWidth="1"/>
    <col min="3" max="3" width="13.28515625" style="617" customWidth="1"/>
    <col min="4" max="4" width="88.28515625" style="617" customWidth="1"/>
    <col min="5" max="7" width="21.7109375" style="1028" customWidth="1"/>
    <col min="8" max="8" width="21.7109375" style="617" customWidth="1"/>
    <col min="9" max="9" width="3.28515625" style="617" customWidth="1"/>
    <col min="10" max="10" width="10" style="617" customWidth="1"/>
    <col min="11" max="11" width="62" style="617" customWidth="1"/>
    <col min="12" max="16384" width="10.7109375" style="617"/>
  </cols>
  <sheetData>
    <row r="1" spans="2:11" ht="33" customHeight="1" x14ac:dyDescent="0.15"/>
    <row r="2" spans="2:11" ht="29" customHeight="1" x14ac:dyDescent="0.15">
      <c r="D2" s="311" t="str">
        <f>_GENERAL!D2</f>
        <v>Área de Presidencia, Hacienda y Modernización</v>
      </c>
      <c r="E2" s="1030"/>
      <c r="F2" s="1030"/>
      <c r="G2" s="1030"/>
    </row>
    <row r="3" spans="2:11" ht="29" customHeight="1" x14ac:dyDescent="0.15">
      <c r="D3" s="311" t="str">
        <f>_GENERAL!D3</f>
        <v>Dirección Insular de Hacienda</v>
      </c>
      <c r="E3" s="1030"/>
      <c r="F3" s="1030"/>
      <c r="G3" s="1030"/>
    </row>
    <row r="4" spans="2:11" ht="18" customHeight="1" thickBot="1" x14ac:dyDescent="0.2"/>
    <row r="5" spans="2:11" ht="13" x14ac:dyDescent="0.15">
      <c r="B5" s="1031"/>
      <c r="C5" s="620"/>
      <c r="D5" s="620"/>
      <c r="E5" s="1032"/>
      <c r="F5" s="1032"/>
      <c r="G5" s="1032"/>
      <c r="H5" s="620"/>
      <c r="I5" s="1033"/>
    </row>
    <row r="6" spans="2:11" ht="16" x14ac:dyDescent="0.2">
      <c r="B6" s="1034"/>
      <c r="C6" s="1035" t="s">
        <v>0</v>
      </c>
      <c r="D6" s="625"/>
      <c r="E6" s="1036"/>
      <c r="F6" s="1036"/>
      <c r="G6" s="1036"/>
      <c r="H6" s="1552">
        <f>ejercicio</f>
        <v>2020</v>
      </c>
      <c r="I6" s="1037"/>
    </row>
    <row r="7" spans="2:11" ht="16" x14ac:dyDescent="0.2">
      <c r="B7" s="1034"/>
      <c r="C7" s="1035" t="s">
        <v>1</v>
      </c>
      <c r="D7" s="625"/>
      <c r="E7" s="1036"/>
      <c r="F7" s="1036"/>
      <c r="G7" s="1036"/>
      <c r="H7" s="1552"/>
      <c r="I7" s="1037"/>
    </row>
    <row r="8" spans="2:11" ht="13" x14ac:dyDescent="0.15">
      <c r="B8" s="1034"/>
      <c r="C8" s="1038"/>
      <c r="D8" s="625"/>
      <c r="E8" s="1036"/>
      <c r="F8" s="1036"/>
      <c r="G8" s="1036"/>
      <c r="H8" s="1014"/>
      <c r="I8" s="1037"/>
    </row>
    <row r="9" spans="2:11" s="1042" customFormat="1" ht="22.25" customHeight="1" x14ac:dyDescent="0.2">
      <c r="B9" s="1039"/>
      <c r="C9" s="1040" t="s">
        <v>2</v>
      </c>
      <c r="D9" s="1553" t="str">
        <f>Entidad</f>
        <v>TEA Tenerife Espacio de las Artes, Entidad Pública Empresarial Local</v>
      </c>
      <c r="E9" s="1553"/>
      <c r="F9" s="1553"/>
      <c r="G9" s="1553"/>
      <c r="H9" s="1553"/>
      <c r="I9" s="1041"/>
    </row>
    <row r="10" spans="2:11" ht="13" x14ac:dyDescent="0.15">
      <c r="B10" s="1034"/>
      <c r="C10" s="625"/>
      <c r="D10" s="625"/>
      <c r="E10" s="1036"/>
      <c r="F10" s="1036"/>
      <c r="G10" s="1036"/>
      <c r="H10" s="625"/>
      <c r="I10" s="1037"/>
    </row>
    <row r="11" spans="2:11" s="1046" customFormat="1" ht="27" customHeight="1" x14ac:dyDescent="0.2">
      <c r="B11" s="1043"/>
      <c r="C11" s="634" t="s">
        <v>603</v>
      </c>
      <c r="D11" s="634"/>
      <c r="E11" s="1044"/>
      <c r="F11" s="1044"/>
      <c r="G11" s="1044"/>
      <c r="H11" s="634"/>
      <c r="I11" s="1045"/>
    </row>
    <row r="12" spans="2:11" s="1046" customFormat="1" ht="18" x14ac:dyDescent="0.2">
      <c r="B12" s="1043"/>
      <c r="C12" s="1554"/>
      <c r="D12" s="1554"/>
      <c r="E12" s="1030"/>
      <c r="F12" s="1030"/>
      <c r="G12" s="1030"/>
      <c r="H12" s="636"/>
      <c r="I12" s="1045"/>
    </row>
    <row r="13" spans="2:11" ht="18" x14ac:dyDescent="0.15">
      <c r="B13" s="1047"/>
      <c r="C13" s="1048"/>
      <c r="D13" s="1048"/>
      <c r="E13" s="1030"/>
      <c r="F13" s="1030"/>
      <c r="G13" s="1030"/>
      <c r="H13" s="636"/>
      <c r="I13" s="1037"/>
    </row>
    <row r="14" spans="2:11" s="1052" customFormat="1" x14ac:dyDescent="0.2">
      <c r="B14" s="1049"/>
      <c r="C14" s="1539" t="s">
        <v>618</v>
      </c>
      <c r="D14" s="1540"/>
      <c r="E14" s="1050" t="s">
        <v>822</v>
      </c>
      <c r="F14" s="1050" t="s">
        <v>823</v>
      </c>
      <c r="G14" s="1050" t="s">
        <v>899</v>
      </c>
      <c r="H14" s="649" t="s">
        <v>897</v>
      </c>
      <c r="I14" s="1051"/>
      <c r="K14" s="649" t="s">
        <v>900</v>
      </c>
    </row>
    <row r="15" spans="2:11" ht="18" x14ac:dyDescent="0.15">
      <c r="B15" s="1047"/>
      <c r="C15" s="1053"/>
      <c r="D15" s="1048"/>
      <c r="E15" s="1030"/>
      <c r="F15" s="1030"/>
      <c r="G15" s="1030"/>
      <c r="H15" s="636"/>
      <c r="I15" s="1037"/>
    </row>
    <row r="16" spans="2:11" s="1060" customFormat="1" ht="18" x14ac:dyDescent="0.2">
      <c r="B16" s="1054"/>
      <c r="C16" s="1055" t="s">
        <v>182</v>
      </c>
      <c r="D16" s="1056" t="s">
        <v>604</v>
      </c>
      <c r="E16" s="1057">
        <v>0</v>
      </c>
      <c r="F16" s="1057">
        <v>0</v>
      </c>
      <c r="G16" s="1057">
        <v>0</v>
      </c>
      <c r="H16" s="1058">
        <f>SUM(E16:G16)</f>
        <v>0</v>
      </c>
      <c r="I16" s="1059"/>
      <c r="K16" s="1182"/>
    </row>
    <row r="17" spans="2:12" s="1060" customFormat="1" ht="18" x14ac:dyDescent="0.2">
      <c r="B17" s="1054"/>
      <c r="C17" s="1055" t="s">
        <v>192</v>
      </c>
      <c r="D17" s="1056" t="s">
        <v>605</v>
      </c>
      <c r="E17" s="1057">
        <v>0</v>
      </c>
      <c r="F17" s="1057">
        <v>0</v>
      </c>
      <c r="G17" s="1057">
        <v>0</v>
      </c>
      <c r="H17" s="1058">
        <f>SUM(E17:G17)</f>
        <v>0</v>
      </c>
      <c r="I17" s="1059"/>
      <c r="K17" s="1182"/>
    </row>
    <row r="18" spans="2:12" s="1060" customFormat="1" ht="18" x14ac:dyDescent="0.2">
      <c r="B18" s="1054"/>
      <c r="C18" s="1055" t="s">
        <v>197</v>
      </c>
      <c r="D18" s="1056" t="s">
        <v>606</v>
      </c>
      <c r="E18" s="1057">
        <f>SUM(E19:E25)</f>
        <v>90000</v>
      </c>
      <c r="F18" s="1057">
        <f>SUM(F19:F25)</f>
        <v>0</v>
      </c>
      <c r="G18" s="1057">
        <f>SUM(G19:G25)</f>
        <v>0</v>
      </c>
      <c r="H18" s="1057">
        <f>SUM(H19:H25)</f>
        <v>90000</v>
      </c>
      <c r="I18" s="1059"/>
      <c r="K18" s="1182"/>
    </row>
    <row r="19" spans="2:12" s="1067" customFormat="1" ht="18" hidden="1" x14ac:dyDescent="0.2">
      <c r="B19" s="1047"/>
      <c r="C19" s="1061" t="s">
        <v>40</v>
      </c>
      <c r="D19" s="1062" t="s">
        <v>824</v>
      </c>
      <c r="E19" s="1063">
        <f>'FC-3_CPyG'!G16</f>
        <v>90000</v>
      </c>
      <c r="F19" s="1064"/>
      <c r="G19" s="1168"/>
      <c r="H19" s="1065">
        <f t="shared" ref="H19:H25" si="0">SUM(E19:G19)</f>
        <v>90000</v>
      </c>
      <c r="I19" s="1066"/>
      <c r="K19" s="1182"/>
    </row>
    <row r="20" spans="2:12" s="1067" customFormat="1" ht="18" hidden="1" x14ac:dyDescent="0.2">
      <c r="B20" s="1047"/>
      <c r="C20" s="1061" t="s">
        <v>46</v>
      </c>
      <c r="D20" s="1062" t="s">
        <v>825</v>
      </c>
      <c r="E20" s="1063">
        <f>'FC-3_1_INF_ADIC_CPyG'!G74</f>
        <v>0</v>
      </c>
      <c r="F20" s="1064"/>
      <c r="G20" s="1168"/>
      <c r="H20" s="1065">
        <f t="shared" si="0"/>
        <v>0</v>
      </c>
      <c r="I20" s="1066"/>
      <c r="K20" s="1182"/>
    </row>
    <row r="21" spans="2:12" s="1067" customFormat="1" ht="18" hidden="1" x14ac:dyDescent="0.2">
      <c r="B21" s="1047"/>
      <c r="C21" s="1061" t="s">
        <v>46</v>
      </c>
      <c r="D21" s="1062" t="s">
        <v>826</v>
      </c>
      <c r="E21" s="1063">
        <f>'FC-3_1_INF_ADIC_CPyG'!G76</f>
        <v>0</v>
      </c>
      <c r="F21" s="1064"/>
      <c r="G21" s="1168"/>
      <c r="H21" s="1065">
        <f t="shared" si="0"/>
        <v>0</v>
      </c>
      <c r="I21" s="1066"/>
      <c r="K21" s="1182"/>
    </row>
    <row r="22" spans="2:12" s="1067" customFormat="1" ht="18" hidden="1" x14ac:dyDescent="0.2">
      <c r="B22" s="1047"/>
      <c r="C22" s="1061" t="s">
        <v>46</v>
      </c>
      <c r="D22" s="1062" t="s">
        <v>1016</v>
      </c>
      <c r="E22" s="1063">
        <f>'FC-3_1_INF_ADIC_CPyG'!G48</f>
        <v>0</v>
      </c>
      <c r="F22" s="1064"/>
      <c r="G22" s="1168"/>
      <c r="H22" s="1065">
        <f t="shared" si="0"/>
        <v>0</v>
      </c>
      <c r="I22" s="1066"/>
      <c r="K22" s="1182"/>
      <c r="L22" s="1068"/>
    </row>
    <row r="23" spans="2:12" s="1067" customFormat="1" ht="18" hidden="1" x14ac:dyDescent="0.2">
      <c r="B23" s="1047"/>
      <c r="C23" s="1061"/>
      <c r="D23" s="1062" t="s">
        <v>827</v>
      </c>
      <c r="E23" s="1064"/>
      <c r="F23" s="1064"/>
      <c r="G23" s="1168"/>
      <c r="H23" s="1065">
        <f t="shared" si="0"/>
        <v>0</v>
      </c>
      <c r="I23" s="1066"/>
      <c r="K23" s="1182"/>
      <c r="L23" s="1068" t="s">
        <v>953</v>
      </c>
    </row>
    <row r="24" spans="2:12" s="1067" customFormat="1" ht="18" hidden="1" x14ac:dyDescent="0.2">
      <c r="B24" s="1047"/>
      <c r="C24" s="1177"/>
      <c r="D24" s="1186"/>
      <c r="E24" s="1064"/>
      <c r="F24" s="1064"/>
      <c r="G24" s="1168"/>
      <c r="H24" s="1065">
        <f t="shared" si="0"/>
        <v>0</v>
      </c>
      <c r="I24" s="1066"/>
      <c r="K24" s="1182"/>
      <c r="L24" s="1068"/>
    </row>
    <row r="25" spans="2:12" s="1067" customFormat="1" ht="18" hidden="1" x14ac:dyDescent="0.2">
      <c r="B25" s="1047"/>
      <c r="C25" s="1177"/>
      <c r="D25" s="1186"/>
      <c r="E25" s="1064"/>
      <c r="F25" s="1064"/>
      <c r="G25" s="1168"/>
      <c r="H25" s="1065">
        <f t="shared" si="0"/>
        <v>0</v>
      </c>
      <c r="I25" s="1066"/>
      <c r="K25" s="1182"/>
      <c r="L25" s="1068"/>
    </row>
    <row r="26" spans="2:12" s="1060" customFormat="1" ht="18" x14ac:dyDescent="0.2">
      <c r="B26" s="1054"/>
      <c r="C26" s="1055" t="s">
        <v>201</v>
      </c>
      <c r="D26" s="1056" t="s">
        <v>607</v>
      </c>
      <c r="E26" s="1057">
        <f>SUM(E27:E30)</f>
        <v>1528883.75</v>
      </c>
      <c r="F26" s="1057">
        <f>SUM(F27:F30)</f>
        <v>1433160.43</v>
      </c>
      <c r="G26" s="1057">
        <f>SUM(G27:G30)</f>
        <v>0</v>
      </c>
      <c r="H26" s="1057">
        <f>SUM(H27:H30)</f>
        <v>2962044.1799999997</v>
      </c>
      <c r="I26" s="1059"/>
      <c r="K26" s="1182"/>
    </row>
    <row r="27" spans="2:12" s="1067" customFormat="1" ht="18" hidden="1" x14ac:dyDescent="0.2">
      <c r="B27" s="1047"/>
      <c r="C27" s="1061" t="s">
        <v>40</v>
      </c>
      <c r="D27" s="1062" t="s">
        <v>828</v>
      </c>
      <c r="E27" s="1063">
        <f>'FC-3_CPyG'!G29</f>
        <v>1528883.75</v>
      </c>
      <c r="F27" s="1064"/>
      <c r="G27" s="1168"/>
      <c r="H27" s="1065">
        <f>SUM(E27:G27)</f>
        <v>1528883.75</v>
      </c>
      <c r="I27" s="1066"/>
      <c r="K27" s="1182"/>
    </row>
    <row r="28" spans="2:12" s="1067" customFormat="1" ht="18" hidden="1" x14ac:dyDescent="0.2">
      <c r="B28" s="1047"/>
      <c r="C28" s="1061" t="s">
        <v>53</v>
      </c>
      <c r="D28" s="1080" t="s">
        <v>829</v>
      </c>
      <c r="E28" s="1064"/>
      <c r="F28" s="1081">
        <f>'FC-9_TRANS_SUBV'!H71</f>
        <v>1433160.43</v>
      </c>
      <c r="G28" s="1168"/>
      <c r="H28" s="1065">
        <f>SUM(E28:G28)</f>
        <v>1433160.43</v>
      </c>
      <c r="I28" s="1066"/>
      <c r="K28" s="1182"/>
      <c r="L28" s="1068"/>
    </row>
    <row r="29" spans="2:12" s="1067" customFormat="1" ht="18" hidden="1" x14ac:dyDescent="0.2">
      <c r="B29" s="1047"/>
      <c r="C29" s="1177"/>
      <c r="D29" s="1186"/>
      <c r="E29" s="1064"/>
      <c r="F29" s="1064"/>
      <c r="G29" s="1168"/>
      <c r="H29" s="1065">
        <f>SUM(E29:G29)</f>
        <v>0</v>
      </c>
      <c r="I29" s="1066"/>
      <c r="K29" s="1182"/>
      <c r="L29" s="1068"/>
    </row>
    <row r="30" spans="2:12" s="1067" customFormat="1" ht="18" hidden="1" x14ac:dyDescent="0.2">
      <c r="B30" s="1047"/>
      <c r="C30" s="1179"/>
      <c r="D30" s="1187"/>
      <c r="E30" s="1064"/>
      <c r="F30" s="1064"/>
      <c r="G30" s="1169"/>
      <c r="H30" s="1065">
        <f>SUM(E30:G30)</f>
        <v>0</v>
      </c>
      <c r="I30" s="1066"/>
      <c r="K30" s="1182"/>
    </row>
    <row r="31" spans="2:12" s="1060" customFormat="1" ht="18" x14ac:dyDescent="0.2">
      <c r="B31" s="1054"/>
      <c r="C31" s="1055" t="s">
        <v>209</v>
      </c>
      <c r="D31" s="1056" t="s">
        <v>608</v>
      </c>
      <c r="E31" s="1057">
        <f>SUM(E32:E38)</f>
        <v>198000</v>
      </c>
      <c r="F31" s="1057">
        <f>SUM(F32:F38)</f>
        <v>0</v>
      </c>
      <c r="G31" s="1057">
        <f>SUM(G32:G38)</f>
        <v>0</v>
      </c>
      <c r="H31" s="1057">
        <f>SUM(H32:H38)</f>
        <v>198000</v>
      </c>
      <c r="I31" s="1059"/>
      <c r="K31" s="1182"/>
    </row>
    <row r="32" spans="2:12" s="1067" customFormat="1" ht="18" hidden="1" x14ac:dyDescent="0.2">
      <c r="B32" s="1047"/>
      <c r="C32" s="1069" t="s">
        <v>46</v>
      </c>
      <c r="D32" s="1070" t="s">
        <v>830</v>
      </c>
      <c r="E32" s="1071">
        <f>'FC-3_1_INF_ADIC_CPyG'!G75</f>
        <v>198000</v>
      </c>
      <c r="F32" s="1064"/>
      <c r="G32" s="1170"/>
      <c r="H32" s="1065">
        <f>SUM(E32:G32)</f>
        <v>198000</v>
      </c>
      <c r="I32" s="1066"/>
      <c r="K32" s="1182"/>
    </row>
    <row r="33" spans="2:12" s="1074" customFormat="1" ht="18" hidden="1" x14ac:dyDescent="0.2">
      <c r="B33" s="1072"/>
      <c r="C33" s="1061" t="s">
        <v>40</v>
      </c>
      <c r="D33" s="1062" t="s">
        <v>831</v>
      </c>
      <c r="E33" s="1063">
        <f>'FC-3_CPyG'!G52</f>
        <v>0</v>
      </c>
      <c r="F33" s="1064"/>
      <c r="G33" s="1168"/>
      <c r="H33" s="1065">
        <f t="shared" ref="H33:H38" si="1">SUM(E33:G33)</f>
        <v>0</v>
      </c>
      <c r="I33" s="1073"/>
      <c r="K33" s="1182"/>
    </row>
    <row r="34" spans="2:12" s="1074" customFormat="1" ht="18" hidden="1" x14ac:dyDescent="0.2">
      <c r="B34" s="1072"/>
      <c r="C34" s="1061" t="s">
        <v>40</v>
      </c>
      <c r="D34" s="1062" t="s">
        <v>832</v>
      </c>
      <c r="E34" s="1063">
        <f>'FC-3_CPyG'!G55</f>
        <v>0</v>
      </c>
      <c r="F34" s="1064"/>
      <c r="G34" s="1168"/>
      <c r="H34" s="1065">
        <f t="shared" si="1"/>
        <v>0</v>
      </c>
      <c r="I34" s="1073"/>
      <c r="K34" s="1182"/>
    </row>
    <row r="35" spans="2:12" s="1074" customFormat="1" ht="18" hidden="1" x14ac:dyDescent="0.2">
      <c r="B35" s="1072"/>
      <c r="C35" s="1061" t="s">
        <v>40</v>
      </c>
      <c r="D35" s="1062" t="s">
        <v>833</v>
      </c>
      <c r="E35" s="1063">
        <f>'FC-3_CPyG'!G72</f>
        <v>0</v>
      </c>
      <c r="F35" s="1064"/>
      <c r="G35" s="1168"/>
      <c r="H35" s="1065">
        <f t="shared" si="1"/>
        <v>0</v>
      </c>
      <c r="I35" s="1073"/>
      <c r="K35" s="1182"/>
    </row>
    <row r="36" spans="2:12" s="1074" customFormat="1" ht="18" hidden="1" x14ac:dyDescent="0.2">
      <c r="B36" s="1072"/>
      <c r="C36" s="1061" t="s">
        <v>40</v>
      </c>
      <c r="D36" s="1062" t="s">
        <v>834</v>
      </c>
      <c r="E36" s="1063">
        <f>+'FC-3_CPyG'!G73</f>
        <v>0</v>
      </c>
      <c r="F36" s="1064"/>
      <c r="G36" s="1168"/>
      <c r="H36" s="1065">
        <f t="shared" si="1"/>
        <v>0</v>
      </c>
      <c r="I36" s="1073"/>
      <c r="K36" s="1182"/>
    </row>
    <row r="37" spans="2:12" s="1074" customFormat="1" ht="18" hidden="1" x14ac:dyDescent="0.2">
      <c r="B37" s="1072"/>
      <c r="C37" s="1177"/>
      <c r="D37" s="1186"/>
      <c r="E37" s="1064"/>
      <c r="F37" s="1064"/>
      <c r="G37" s="1168"/>
      <c r="H37" s="1065">
        <f t="shared" si="1"/>
        <v>0</v>
      </c>
      <c r="I37" s="1073"/>
      <c r="K37" s="1182"/>
    </row>
    <row r="38" spans="2:12" s="1074" customFormat="1" ht="18" x14ac:dyDescent="0.2">
      <c r="B38" s="1072"/>
      <c r="C38" s="1179"/>
      <c r="D38" s="1188"/>
      <c r="E38" s="1064"/>
      <c r="F38" s="1064"/>
      <c r="G38" s="1169"/>
      <c r="H38" s="1065">
        <f t="shared" si="1"/>
        <v>0</v>
      </c>
      <c r="I38" s="1073"/>
      <c r="K38" s="1182"/>
    </row>
    <row r="39" spans="2:12" s="1078" customFormat="1" ht="18" x14ac:dyDescent="0.2">
      <c r="B39" s="1075"/>
      <c r="C39" s="1541" t="s">
        <v>609</v>
      </c>
      <c r="D39" s="1542"/>
      <c r="E39" s="1076">
        <f>E16+E17+E18+E26+E31</f>
        <v>1816883.75</v>
      </c>
      <c r="F39" s="1076">
        <f>F16+F17+F18+F26+F31</f>
        <v>1433160.43</v>
      </c>
      <c r="G39" s="1076">
        <f>G16+G17+G18+G26+G31</f>
        <v>0</v>
      </c>
      <c r="H39" s="1076">
        <f>H16+H17+H18+H26+H31</f>
        <v>3250044.1799999997</v>
      </c>
      <c r="I39" s="1077"/>
      <c r="K39" s="1182"/>
    </row>
    <row r="40" spans="2:12" s="1042" customFormat="1" ht="16" x14ac:dyDescent="0.2">
      <c r="B40" s="1039"/>
      <c r="C40" s="981"/>
      <c r="D40" s="1048"/>
      <c r="E40" s="1030"/>
      <c r="F40" s="1030"/>
      <c r="G40" s="1030"/>
      <c r="H40" s="1079"/>
      <c r="I40" s="1041"/>
      <c r="K40" s="1183"/>
    </row>
    <row r="41" spans="2:12" s="1074" customFormat="1" ht="18" x14ac:dyDescent="0.2">
      <c r="B41" s="1072"/>
      <c r="C41" s="1055" t="s">
        <v>212</v>
      </c>
      <c r="D41" s="1056" t="s">
        <v>610</v>
      </c>
      <c r="E41" s="1057">
        <f>SUM(E42:E44)</f>
        <v>0</v>
      </c>
      <c r="F41" s="1057">
        <f>SUM(F42:F44)</f>
        <v>0</v>
      </c>
      <c r="G41" s="1057">
        <f>SUM(G42:G44)</f>
        <v>0</v>
      </c>
      <c r="H41" s="1057">
        <f>SUM(H42:H44)</f>
        <v>0</v>
      </c>
      <c r="I41" s="1073"/>
      <c r="K41" s="1182"/>
    </row>
    <row r="42" spans="2:12" s="1067" customFormat="1" ht="18" hidden="1" x14ac:dyDescent="0.2">
      <c r="B42" s="1047"/>
      <c r="C42" s="1061" t="s">
        <v>49</v>
      </c>
      <c r="D42" s="1080" t="s">
        <v>835</v>
      </c>
      <c r="E42" s="1064"/>
      <c r="F42" s="1081">
        <f>'FC-7_INF'!K31</f>
        <v>0</v>
      </c>
      <c r="G42" s="1170"/>
      <c r="H42" s="1065">
        <f>SUM(E42:G42)</f>
        <v>0</v>
      </c>
      <c r="I42" s="1066"/>
      <c r="K42" s="1182"/>
      <c r="L42" s="1082" t="s">
        <v>836</v>
      </c>
    </row>
    <row r="43" spans="2:12" s="1067" customFormat="1" ht="18" hidden="1" x14ac:dyDescent="0.2">
      <c r="B43" s="1047"/>
      <c r="C43" s="1177"/>
      <c r="D43" s="1178"/>
      <c r="E43" s="1064"/>
      <c r="F43" s="1064"/>
      <c r="G43" s="1168"/>
      <c r="H43" s="1065">
        <f>SUM(E43:G43)</f>
        <v>0</v>
      </c>
      <c r="I43" s="1066"/>
      <c r="K43" s="1182"/>
      <c r="L43" s="1074"/>
    </row>
    <row r="44" spans="2:12" s="1067" customFormat="1" ht="18" hidden="1" x14ac:dyDescent="0.2">
      <c r="B44" s="1047"/>
      <c r="C44" s="1179"/>
      <c r="D44" s="1178"/>
      <c r="E44" s="1064"/>
      <c r="F44" s="1064"/>
      <c r="G44" s="1169"/>
      <c r="H44" s="1065">
        <f>SUM(E44:G44)</f>
        <v>0</v>
      </c>
      <c r="I44" s="1066"/>
      <c r="K44" s="1182"/>
      <c r="L44" s="1074"/>
    </row>
    <row r="45" spans="2:12" s="1074" customFormat="1" ht="18" x14ac:dyDescent="0.2">
      <c r="B45" s="1072"/>
      <c r="C45" s="1055" t="s">
        <v>214</v>
      </c>
      <c r="D45" s="1056" t="s">
        <v>611</v>
      </c>
      <c r="E45" s="1057">
        <f>SUM(E46:E49)</f>
        <v>0</v>
      </c>
      <c r="F45" s="1057">
        <f t="shared" ref="F45" si="2">SUM(F46:F49)</f>
        <v>273352.5</v>
      </c>
      <c r="G45" s="1057">
        <f>SUM(G46:G49)</f>
        <v>0</v>
      </c>
      <c r="H45" s="1057">
        <f>SUM(H46:H49)</f>
        <v>273352.5</v>
      </c>
      <c r="I45" s="1073"/>
      <c r="K45" s="1182"/>
    </row>
    <row r="46" spans="2:12" s="1086" customFormat="1" ht="18" hidden="1" x14ac:dyDescent="0.2">
      <c r="B46" s="1083"/>
      <c r="C46" s="1061" t="s">
        <v>53</v>
      </c>
      <c r="D46" s="1080" t="s">
        <v>901</v>
      </c>
      <c r="E46" s="1084"/>
      <c r="F46" s="1081">
        <f>'FC-9_TRANS_SUBV'!I32</f>
        <v>273352.5</v>
      </c>
      <c r="G46" s="949"/>
      <c r="H46" s="1065">
        <f>F46+E46</f>
        <v>273352.5</v>
      </c>
      <c r="I46" s="1085"/>
      <c r="K46" s="1182"/>
    </row>
    <row r="47" spans="2:12" s="1074" customFormat="1" ht="18" hidden="1" x14ac:dyDescent="0.2">
      <c r="B47" s="1072"/>
      <c r="C47" s="1061" t="s">
        <v>980</v>
      </c>
      <c r="D47" s="1080" t="s">
        <v>981</v>
      </c>
      <c r="E47" s="1084"/>
      <c r="F47" s="1081">
        <f>'FC-4_1_MOV_FP'!F38</f>
        <v>0</v>
      </c>
      <c r="G47" s="949"/>
      <c r="H47" s="1065">
        <f>F47+E47</f>
        <v>0</v>
      </c>
      <c r="I47" s="1073"/>
      <c r="K47" s="1182"/>
    </row>
    <row r="48" spans="2:12" s="1074" customFormat="1" ht="18" hidden="1" x14ac:dyDescent="0.2">
      <c r="B48" s="1072"/>
      <c r="C48" s="1177"/>
      <c r="D48" s="1186"/>
      <c r="E48" s="1064"/>
      <c r="F48" s="1064"/>
      <c r="G48" s="1168"/>
      <c r="H48" s="1065">
        <f>SUM(E48:G48)</f>
        <v>0</v>
      </c>
      <c r="I48" s="1073"/>
      <c r="K48" s="1182"/>
      <c r="L48" s="1068"/>
    </row>
    <row r="49" spans="2:13" s="1074" customFormat="1" ht="18" x14ac:dyDescent="0.2">
      <c r="B49" s="1072"/>
      <c r="C49" s="1179"/>
      <c r="D49" s="1188"/>
      <c r="E49" s="1064"/>
      <c r="F49" s="1064"/>
      <c r="G49" s="1169"/>
      <c r="H49" s="1065">
        <f>SUM(E49:G49)</f>
        <v>0</v>
      </c>
      <c r="I49" s="1073"/>
      <c r="K49" s="1182"/>
      <c r="L49" s="1068"/>
    </row>
    <row r="50" spans="2:13" s="1089" customFormat="1" ht="18" x14ac:dyDescent="0.2">
      <c r="B50" s="1087"/>
      <c r="C50" s="1533" t="s">
        <v>612</v>
      </c>
      <c r="D50" s="1534"/>
      <c r="E50" s="1050">
        <f>E41+E45</f>
        <v>0</v>
      </c>
      <c r="F50" s="1050">
        <f>F41+F45</f>
        <v>273352.5</v>
      </c>
      <c r="G50" s="1050">
        <f t="shared" ref="G50:H50" si="3">G41+G45</f>
        <v>0</v>
      </c>
      <c r="H50" s="1050">
        <f t="shared" si="3"/>
        <v>273352.5</v>
      </c>
      <c r="I50" s="1088"/>
      <c r="K50" s="1182"/>
    </row>
    <row r="51" spans="2:13" s="1042" customFormat="1" ht="16" x14ac:dyDescent="0.2">
      <c r="B51" s="1039"/>
      <c r="C51" s="981"/>
      <c r="D51" s="1048"/>
      <c r="E51" s="1030"/>
      <c r="F51" s="1030"/>
      <c r="G51" s="1030"/>
      <c r="H51" s="1079"/>
      <c r="I51" s="1041"/>
      <c r="K51" s="1183"/>
    </row>
    <row r="52" spans="2:13" s="1074" customFormat="1" ht="18" x14ac:dyDescent="0.2">
      <c r="B52" s="1072"/>
      <c r="C52" s="1090" t="s">
        <v>265</v>
      </c>
      <c r="D52" s="686" t="s">
        <v>613</v>
      </c>
      <c r="E52" s="1091">
        <f>SUM(E53:E58)</f>
        <v>0</v>
      </c>
      <c r="F52" s="1091">
        <f>SUM(F53:F58)</f>
        <v>0</v>
      </c>
      <c r="G52" s="1091">
        <f>SUM(G53:G58)</f>
        <v>0</v>
      </c>
      <c r="H52" s="1091">
        <f>SUM(H53:H58)</f>
        <v>0</v>
      </c>
      <c r="I52" s="1073"/>
      <c r="K52" s="1182"/>
    </row>
    <row r="53" spans="2:13" s="1067" customFormat="1" ht="18" hidden="1" x14ac:dyDescent="0.2">
      <c r="B53" s="1047"/>
      <c r="C53" s="1061" t="s">
        <v>51</v>
      </c>
      <c r="D53" s="1080" t="s">
        <v>837</v>
      </c>
      <c r="E53" s="1092"/>
      <c r="F53" s="1081">
        <f>-'FC-8_INV_FINANCIERAS'!H25</f>
        <v>0</v>
      </c>
      <c r="G53" s="949"/>
      <c r="H53" s="1065">
        <f>SUM(E53:G53)</f>
        <v>0</v>
      </c>
      <c r="I53" s="1066"/>
      <c r="K53" s="1182"/>
      <c r="L53" s="1082" t="s">
        <v>836</v>
      </c>
      <c r="M53" s="1086"/>
    </row>
    <row r="54" spans="2:13" s="1086" customFormat="1" ht="18" hidden="1" x14ac:dyDescent="0.2">
      <c r="B54" s="1083"/>
      <c r="C54" s="1061" t="s">
        <v>51</v>
      </c>
      <c r="D54" s="1080" t="s">
        <v>838</v>
      </c>
      <c r="E54" s="1084"/>
      <c r="F54" s="1081">
        <f>-'FC-8_INV_FINANCIERAS'!H34</f>
        <v>0</v>
      </c>
      <c r="G54" s="1171"/>
      <c r="H54" s="1065">
        <f t="shared" ref="H54:H65" si="4">SUM(E54:G54)</f>
        <v>0</v>
      </c>
      <c r="I54" s="1085"/>
      <c r="K54" s="1182"/>
      <c r="L54" s="1082" t="s">
        <v>836</v>
      </c>
    </row>
    <row r="55" spans="2:13" s="1086" customFormat="1" ht="18" hidden="1" x14ac:dyDescent="0.2">
      <c r="B55" s="1083"/>
      <c r="C55" s="1061" t="s">
        <v>51</v>
      </c>
      <c r="D55" s="1080" t="s">
        <v>839</v>
      </c>
      <c r="E55" s="1084"/>
      <c r="F55" s="1081">
        <f>-'FC-8_INV_FINANCIERAS'!H49</f>
        <v>0</v>
      </c>
      <c r="G55" s="950"/>
      <c r="H55" s="1065">
        <f t="shared" si="4"/>
        <v>0</v>
      </c>
      <c r="I55" s="1085"/>
      <c r="K55" s="1182"/>
      <c r="L55" s="1082" t="s">
        <v>836</v>
      </c>
    </row>
    <row r="56" spans="2:13" s="1086" customFormat="1" ht="18" hidden="1" x14ac:dyDescent="0.2">
      <c r="B56" s="1083"/>
      <c r="C56" s="1061" t="s">
        <v>51</v>
      </c>
      <c r="D56" s="1080" t="s">
        <v>840</v>
      </c>
      <c r="E56" s="1084"/>
      <c r="F56" s="1081">
        <f>-'FC-8_INV_FINANCIERAS'!H58</f>
        <v>0</v>
      </c>
      <c r="G56" s="950"/>
      <c r="H56" s="1065">
        <f t="shared" si="4"/>
        <v>0</v>
      </c>
      <c r="I56" s="1085"/>
      <c r="K56" s="1182"/>
      <c r="L56" s="1082" t="s">
        <v>836</v>
      </c>
    </row>
    <row r="57" spans="2:13" s="1086" customFormat="1" ht="18" hidden="1" x14ac:dyDescent="0.2">
      <c r="B57" s="1083"/>
      <c r="C57" s="1177"/>
      <c r="D57" s="1186"/>
      <c r="E57" s="1064"/>
      <c r="F57" s="1064"/>
      <c r="G57" s="1168"/>
      <c r="H57" s="1065">
        <f t="shared" si="4"/>
        <v>0</v>
      </c>
      <c r="I57" s="1085"/>
      <c r="K57" s="1182"/>
      <c r="L57" s="1094"/>
    </row>
    <row r="58" spans="2:13" s="1086" customFormat="1" ht="18" hidden="1" x14ac:dyDescent="0.2">
      <c r="B58" s="1083"/>
      <c r="C58" s="1179"/>
      <c r="D58" s="1188"/>
      <c r="E58" s="1064"/>
      <c r="F58" s="1064"/>
      <c r="G58" s="1169"/>
      <c r="H58" s="1065">
        <f>SUM(E58:G58)</f>
        <v>0</v>
      </c>
      <c r="I58" s="1085"/>
      <c r="K58" s="1182"/>
      <c r="L58" s="1094"/>
    </row>
    <row r="59" spans="2:13" s="1074" customFormat="1" ht="18" x14ac:dyDescent="0.2">
      <c r="B59" s="1072"/>
      <c r="C59" s="1095" t="s">
        <v>267</v>
      </c>
      <c r="D59" s="1096" t="s">
        <v>614</v>
      </c>
      <c r="E59" s="1097">
        <f>SUM(E60:E67)</f>
        <v>0</v>
      </c>
      <c r="F59" s="1097">
        <f>SUM(F60:F67)</f>
        <v>0</v>
      </c>
      <c r="G59" s="1097">
        <f>SUM(G60:G67)</f>
        <v>0</v>
      </c>
      <c r="H59" s="1097">
        <f>SUM(H60:H67)</f>
        <v>0</v>
      </c>
      <c r="I59" s="1073"/>
      <c r="K59" s="1182"/>
    </row>
    <row r="60" spans="2:13" s="1086" customFormat="1" ht="18" hidden="1" x14ac:dyDescent="0.2">
      <c r="B60" s="1083"/>
      <c r="C60" s="1061" t="s">
        <v>55</v>
      </c>
      <c r="D60" s="1080" t="s">
        <v>902</v>
      </c>
      <c r="E60" s="1084"/>
      <c r="F60" s="1081">
        <f>'FC-10_DEUDAS'!M43</f>
        <v>0</v>
      </c>
      <c r="G60" s="1172"/>
      <c r="H60" s="1065">
        <f t="shared" si="4"/>
        <v>0</v>
      </c>
      <c r="I60" s="1085"/>
      <c r="K60" s="1182"/>
    </row>
    <row r="61" spans="2:13" s="1086" customFormat="1" ht="18" hidden="1" x14ac:dyDescent="0.2">
      <c r="B61" s="1083"/>
      <c r="C61" s="1061"/>
      <c r="D61" s="1080" t="s">
        <v>908</v>
      </c>
      <c r="E61" s="1084"/>
      <c r="F61" s="1099"/>
      <c r="G61" s="1172"/>
      <c r="H61" s="1065">
        <f t="shared" si="4"/>
        <v>0</v>
      </c>
      <c r="I61" s="1085"/>
      <c r="K61" s="1182"/>
      <c r="L61" s="1068" t="s">
        <v>952</v>
      </c>
    </row>
    <row r="62" spans="2:13" s="1086" customFormat="1" ht="18" hidden="1" x14ac:dyDescent="0.2">
      <c r="B62" s="1083"/>
      <c r="C62" s="1061"/>
      <c r="D62" s="1080" t="s">
        <v>841</v>
      </c>
      <c r="E62" s="1084"/>
      <c r="F62" s="1100"/>
      <c r="G62" s="950"/>
      <c r="H62" s="1065">
        <f t="shared" si="4"/>
        <v>0</v>
      </c>
      <c r="I62" s="1085"/>
      <c r="K62" s="1182"/>
      <c r="L62" s="1068" t="s">
        <v>952</v>
      </c>
    </row>
    <row r="63" spans="2:13" s="1086" customFormat="1" ht="18" hidden="1" x14ac:dyDescent="0.2">
      <c r="B63" s="1083"/>
      <c r="C63" s="1061" t="s">
        <v>55</v>
      </c>
      <c r="D63" s="1080" t="s">
        <v>842</v>
      </c>
      <c r="E63" s="1084"/>
      <c r="F63" s="1081">
        <f>'FC-10_DEUDAS'!M75</f>
        <v>0</v>
      </c>
      <c r="G63" s="1172"/>
      <c r="H63" s="1065">
        <f t="shared" si="4"/>
        <v>0</v>
      </c>
      <c r="I63" s="1085"/>
      <c r="K63" s="1182"/>
    </row>
    <row r="64" spans="2:13" s="1086" customFormat="1" ht="18" hidden="1" x14ac:dyDescent="0.2">
      <c r="B64" s="1083"/>
      <c r="C64" s="1061" t="s">
        <v>55</v>
      </c>
      <c r="D64" s="1080" t="s">
        <v>843</v>
      </c>
      <c r="E64" s="1084"/>
      <c r="F64" s="1081">
        <f>'FC-10_DEUDAS'!M107</f>
        <v>0</v>
      </c>
      <c r="G64" s="950"/>
      <c r="H64" s="1065">
        <f t="shared" si="4"/>
        <v>0</v>
      </c>
      <c r="I64" s="1085"/>
      <c r="K64" s="1182"/>
    </row>
    <row r="65" spans="2:12" s="1086" customFormat="1" ht="18" hidden="1" x14ac:dyDescent="0.2">
      <c r="B65" s="1083"/>
      <c r="C65" s="1061"/>
      <c r="D65" s="1080" t="s">
        <v>844</v>
      </c>
      <c r="E65" s="1084"/>
      <c r="F65" s="1100"/>
      <c r="G65" s="950"/>
      <c r="H65" s="1065">
        <f t="shared" si="4"/>
        <v>0</v>
      </c>
      <c r="I65" s="1085"/>
      <c r="K65" s="1182"/>
      <c r="L65" s="1068" t="s">
        <v>952</v>
      </c>
    </row>
    <row r="66" spans="2:12" s="1086" customFormat="1" ht="18" hidden="1" x14ac:dyDescent="0.2">
      <c r="B66" s="1083"/>
      <c r="C66" s="1177"/>
      <c r="D66" s="1186"/>
      <c r="E66" s="1064"/>
      <c r="F66" s="1064"/>
      <c r="G66" s="1168"/>
      <c r="H66" s="1065">
        <f>SUM(E66:G66)</f>
        <v>0</v>
      </c>
      <c r="I66" s="1085"/>
      <c r="K66" s="1182"/>
      <c r="L66" s="1068"/>
    </row>
    <row r="67" spans="2:12" s="1086" customFormat="1" ht="18" x14ac:dyDescent="0.2">
      <c r="B67" s="1083"/>
      <c r="C67" s="1179"/>
      <c r="D67" s="1188"/>
      <c r="E67" s="1064"/>
      <c r="F67" s="1064"/>
      <c r="G67" s="1169"/>
      <c r="H67" s="1065">
        <f>SUM(E67:G67)</f>
        <v>0</v>
      </c>
      <c r="I67" s="1085"/>
      <c r="K67" s="1182"/>
      <c r="L67" s="1068"/>
    </row>
    <row r="68" spans="2:12" s="1101" customFormat="1" ht="18" x14ac:dyDescent="0.2">
      <c r="B68" s="1043"/>
      <c r="C68" s="1533" t="s">
        <v>615</v>
      </c>
      <c r="D68" s="1534"/>
      <c r="E68" s="1050">
        <f>E52+E59</f>
        <v>0</v>
      </c>
      <c r="F68" s="1050">
        <f>F52+F59</f>
        <v>0</v>
      </c>
      <c r="G68" s="1050">
        <f>G52+G59</f>
        <v>0</v>
      </c>
      <c r="H68" s="1050">
        <f>H52+H59</f>
        <v>0</v>
      </c>
      <c r="I68" s="1045"/>
      <c r="K68" s="1182"/>
    </row>
    <row r="69" spans="2:12" s="1042" customFormat="1" ht="16" x14ac:dyDescent="0.2">
      <c r="B69" s="1039"/>
      <c r="C69" s="1048"/>
      <c r="D69" s="1029"/>
      <c r="E69" s="1030"/>
      <c r="F69" s="1030"/>
      <c r="G69" s="1030"/>
      <c r="H69" s="1102"/>
      <c r="I69" s="1041"/>
      <c r="K69" s="1183"/>
    </row>
    <row r="70" spans="2:12" s="1106" customFormat="1" ht="21" thickBot="1" x14ac:dyDescent="0.25">
      <c r="B70" s="1103"/>
      <c r="C70" s="1535" t="s">
        <v>845</v>
      </c>
      <c r="D70" s="1536"/>
      <c r="E70" s="1104">
        <f>E68+E50+E39</f>
        <v>1816883.75</v>
      </c>
      <c r="F70" s="1104">
        <f>F68+F50+F39</f>
        <v>1706512.93</v>
      </c>
      <c r="G70" s="1104">
        <f>G68+G50+G39</f>
        <v>0</v>
      </c>
      <c r="H70" s="1104">
        <f>H68+H50+H39</f>
        <v>3523396.6799999997</v>
      </c>
      <c r="I70" s="1105"/>
      <c r="K70" s="1182"/>
    </row>
    <row r="71" spans="2:12" s="1042" customFormat="1" ht="16" x14ac:dyDescent="0.2">
      <c r="B71" s="1039"/>
      <c r="C71" s="981"/>
      <c r="D71" s="1048"/>
      <c r="E71" s="1030"/>
      <c r="F71" s="1030"/>
      <c r="G71" s="1030"/>
      <c r="H71" s="1079"/>
      <c r="I71" s="1041"/>
      <c r="K71" s="1183"/>
    </row>
    <row r="72" spans="2:12" s="1042" customFormat="1" ht="18" x14ac:dyDescent="0.2">
      <c r="B72" s="1039"/>
      <c r="C72" s="1537" t="s">
        <v>617</v>
      </c>
      <c r="D72" s="1538"/>
      <c r="E72" s="1107">
        <f>SUM(E73:E81)</f>
        <v>18949.310000000001</v>
      </c>
      <c r="F72" s="1107">
        <f>SUM(F73:F81)</f>
        <v>0</v>
      </c>
      <c r="G72" s="1107">
        <f>SUM(G73:G81)</f>
        <v>0</v>
      </c>
      <c r="H72" s="1107">
        <f>SUM(H73:H81)</f>
        <v>18949.310000000001</v>
      </c>
      <c r="I72" s="1041"/>
      <c r="K72" s="1182"/>
    </row>
    <row r="73" spans="2:12" s="1074" customFormat="1" ht="18" hidden="1" x14ac:dyDescent="0.2">
      <c r="B73" s="1072"/>
      <c r="C73" s="1061" t="s">
        <v>40</v>
      </c>
      <c r="D73" s="1062" t="s">
        <v>846</v>
      </c>
      <c r="E73" s="1063">
        <f>IF('FC-3_CPyG'!G20&gt;0,'FC-3_CPyG'!G20,0)</f>
        <v>0</v>
      </c>
      <c r="F73" s="1064"/>
      <c r="G73" s="1064"/>
      <c r="H73" s="1065">
        <f t="shared" ref="H73:H81" si="5">F73+E73</f>
        <v>0</v>
      </c>
      <c r="I73" s="1073"/>
      <c r="K73" s="1182"/>
      <c r="L73" s="1068" t="s">
        <v>847</v>
      </c>
    </row>
    <row r="74" spans="2:12" s="1074" customFormat="1" ht="18" hidden="1" x14ac:dyDescent="0.2">
      <c r="B74" s="1072"/>
      <c r="C74" s="1061" t="s">
        <v>40</v>
      </c>
      <c r="D74" s="1062" t="s">
        <v>848</v>
      </c>
      <c r="E74" s="1063">
        <f>'FC-3_CPyG'!G21</f>
        <v>0</v>
      </c>
      <c r="F74" s="1064"/>
      <c r="G74" s="1064"/>
      <c r="H74" s="1065">
        <f t="shared" si="5"/>
        <v>0</v>
      </c>
      <c r="I74" s="1073"/>
      <c r="K74" s="1182"/>
      <c r="L74" s="1068" t="s">
        <v>849</v>
      </c>
    </row>
    <row r="75" spans="2:12" s="1074" customFormat="1" ht="18" hidden="1" x14ac:dyDescent="0.2">
      <c r="B75" s="1072"/>
      <c r="C75" s="1061" t="s">
        <v>40</v>
      </c>
      <c r="D75" s="1062" t="s">
        <v>850</v>
      </c>
      <c r="E75" s="1063">
        <f>'FC-3_CPyG'!G41</f>
        <v>18949.310000000001</v>
      </c>
      <c r="F75" s="1064"/>
      <c r="G75" s="1064"/>
      <c r="H75" s="1065">
        <f t="shared" si="5"/>
        <v>18949.310000000001</v>
      </c>
      <c r="I75" s="1073"/>
      <c r="K75" s="1182"/>
    </row>
    <row r="76" spans="2:12" s="1074" customFormat="1" ht="18" hidden="1" x14ac:dyDescent="0.2">
      <c r="B76" s="1072"/>
      <c r="C76" s="1061" t="s">
        <v>40</v>
      </c>
      <c r="D76" s="1062" t="s">
        <v>851</v>
      </c>
      <c r="E76" s="1063">
        <f>'FC-3_CPyG'!G42</f>
        <v>0</v>
      </c>
      <c r="F76" s="1064"/>
      <c r="G76" s="1064"/>
      <c r="H76" s="1065">
        <f t="shared" si="5"/>
        <v>0</v>
      </c>
      <c r="I76" s="1073"/>
      <c r="K76" s="1182"/>
    </row>
    <row r="77" spans="2:12" s="1074" customFormat="1" ht="18" hidden="1" x14ac:dyDescent="0.2">
      <c r="B77" s="1072"/>
      <c r="C77" s="1061" t="s">
        <v>40</v>
      </c>
      <c r="D77" s="1062" t="s">
        <v>852</v>
      </c>
      <c r="E77" s="1063">
        <f>IF('FC-3_CPyG'!G45&gt;0,'FC-3_CPyG'!G45,0)</f>
        <v>0</v>
      </c>
      <c r="F77" s="1064"/>
      <c r="G77" s="1064"/>
      <c r="H77" s="1065">
        <f t="shared" si="5"/>
        <v>0</v>
      </c>
      <c r="I77" s="1073"/>
      <c r="K77" s="1182"/>
    </row>
    <row r="78" spans="2:12" s="1074" customFormat="1" ht="18" hidden="1" x14ac:dyDescent="0.2">
      <c r="B78" s="1072"/>
      <c r="C78" s="1061" t="s">
        <v>40</v>
      </c>
      <c r="D78" s="1062" t="s">
        <v>853</v>
      </c>
      <c r="E78" s="1063">
        <f>IF('FC-3_CPyG'!G46&gt;0,'FC-3_CPyG'!G46,0)</f>
        <v>0</v>
      </c>
      <c r="F78" s="1064"/>
      <c r="G78" s="1064"/>
      <c r="H78" s="1065">
        <f t="shared" si="5"/>
        <v>0</v>
      </c>
      <c r="I78" s="1073"/>
      <c r="K78" s="1182"/>
    </row>
    <row r="79" spans="2:12" s="1074" customFormat="1" ht="18" hidden="1" x14ac:dyDescent="0.2">
      <c r="B79" s="1072"/>
      <c r="C79" s="1061" t="s">
        <v>46</v>
      </c>
      <c r="D79" s="1062" t="s">
        <v>1018</v>
      </c>
      <c r="E79" s="1063">
        <f>'FC-3_1_INF_ADIC_CPyG'!G52</f>
        <v>0</v>
      </c>
      <c r="F79" s="1064"/>
      <c r="G79" s="1064"/>
      <c r="H79" s="1065">
        <f t="shared" si="5"/>
        <v>0</v>
      </c>
      <c r="I79" s="1073"/>
      <c r="K79" s="1182"/>
    </row>
    <row r="80" spans="2:12" s="1074" customFormat="1" ht="18" hidden="1" x14ac:dyDescent="0.2">
      <c r="B80" s="1072"/>
      <c r="C80" s="1061" t="s">
        <v>40</v>
      </c>
      <c r="D80" s="1062" t="s">
        <v>854</v>
      </c>
      <c r="E80" s="1063">
        <f>'FC-3_CPyG'!G58</f>
        <v>0</v>
      </c>
      <c r="F80" s="1064"/>
      <c r="G80" s="1064"/>
      <c r="H80" s="1065">
        <f t="shared" si="5"/>
        <v>0</v>
      </c>
      <c r="I80" s="1073"/>
      <c r="K80" s="1182"/>
    </row>
    <row r="81" spans="2:12" s="1074" customFormat="1" ht="18" hidden="1" x14ac:dyDescent="0.2">
      <c r="B81" s="1072"/>
      <c r="C81" s="1061" t="s">
        <v>40</v>
      </c>
      <c r="D81" s="1062" t="s">
        <v>855</v>
      </c>
      <c r="E81" s="1063">
        <f>'FC-3_CPyG'!G63</f>
        <v>0</v>
      </c>
      <c r="F81" s="1064"/>
      <c r="G81" s="1064"/>
      <c r="H81" s="1065">
        <f t="shared" si="5"/>
        <v>0</v>
      </c>
      <c r="I81" s="1073"/>
      <c r="K81" s="1182"/>
    </row>
    <row r="82" spans="2:12" s="1074" customFormat="1" ht="16" x14ac:dyDescent="0.2">
      <c r="B82" s="1072"/>
      <c r="C82" s="1108"/>
      <c r="D82" s="1108"/>
      <c r="E82" s="1108"/>
      <c r="F82" s="1108"/>
      <c r="G82" s="1108"/>
      <c r="H82" s="1108"/>
      <c r="I82" s="1073"/>
      <c r="K82" s="1184"/>
    </row>
    <row r="83" spans="2:12" s="1113" customFormat="1" ht="19" thickBot="1" x14ac:dyDescent="0.25">
      <c r="B83" s="1109"/>
      <c r="C83" s="1531" t="s">
        <v>856</v>
      </c>
      <c r="D83" s="1532"/>
      <c r="E83" s="1110">
        <f>E70+E72</f>
        <v>1835833.06</v>
      </c>
      <c r="F83" s="1110">
        <f t="shared" ref="F83:H83" si="6">F70+F72</f>
        <v>1706512.93</v>
      </c>
      <c r="G83" s="1110">
        <f t="shared" si="6"/>
        <v>0</v>
      </c>
      <c r="H83" s="1110">
        <f t="shared" si="6"/>
        <v>3542345.9899999998</v>
      </c>
      <c r="I83" s="1111"/>
      <c r="J83" s="1112"/>
      <c r="K83" s="1182"/>
    </row>
    <row r="84" spans="2:12" s="1042" customFormat="1" ht="18" x14ac:dyDescent="0.2">
      <c r="B84" s="1039"/>
      <c r="C84" s="1114"/>
      <c r="D84" s="1114"/>
      <c r="E84" s="1115"/>
      <c r="F84" s="1115"/>
      <c r="G84" s="1115"/>
      <c r="H84" s="1116"/>
      <c r="I84" s="1041"/>
      <c r="K84" s="1183"/>
    </row>
    <row r="85" spans="2:12" s="1042" customFormat="1" ht="18" x14ac:dyDescent="0.2">
      <c r="B85" s="1039"/>
      <c r="C85" s="1114"/>
      <c r="D85" s="1114"/>
      <c r="E85" s="1115"/>
      <c r="F85" s="1115"/>
      <c r="G85" s="1115"/>
      <c r="H85" s="1116"/>
      <c r="I85" s="1041"/>
      <c r="K85" s="1183"/>
    </row>
    <row r="86" spans="2:12" s="1052" customFormat="1" x14ac:dyDescent="0.2">
      <c r="B86" s="1049"/>
      <c r="C86" s="1539" t="s">
        <v>619</v>
      </c>
      <c r="D86" s="1540"/>
      <c r="E86" s="1117"/>
      <c r="F86" s="1117"/>
      <c r="G86" s="1117"/>
      <c r="H86" s="1118" t="s">
        <v>470</v>
      </c>
      <c r="I86" s="1051"/>
      <c r="K86" s="1182"/>
    </row>
    <row r="87" spans="2:12" ht="18" x14ac:dyDescent="0.15">
      <c r="B87" s="1047"/>
      <c r="C87" s="1053"/>
      <c r="D87" s="1048"/>
      <c r="E87" s="1030"/>
      <c r="F87" s="1030"/>
      <c r="G87" s="1030"/>
      <c r="H87" s="636"/>
      <c r="I87" s="1037"/>
      <c r="K87" s="1185"/>
    </row>
    <row r="88" spans="2:12" s="1060" customFormat="1" ht="18" x14ac:dyDescent="0.2">
      <c r="B88" s="1054"/>
      <c r="C88" s="1055" t="s">
        <v>182</v>
      </c>
      <c r="D88" s="1056" t="s">
        <v>620</v>
      </c>
      <c r="E88" s="1057">
        <f>SUM(E89:E92)</f>
        <v>693936.78</v>
      </c>
      <c r="F88" s="1057">
        <f>SUM(F89:F92)</f>
        <v>0</v>
      </c>
      <c r="G88" s="1057">
        <f>SUM(G89:G92)</f>
        <v>0</v>
      </c>
      <c r="H88" s="1057">
        <f>SUM(H89:H92)</f>
        <v>693936.78</v>
      </c>
      <c r="I88" s="1059"/>
      <c r="K88" s="1182"/>
    </row>
    <row r="89" spans="2:12" s="1042" customFormat="1" ht="18" hidden="1" x14ac:dyDescent="0.2">
      <c r="B89" s="1039"/>
      <c r="C89" s="1061" t="s">
        <v>40</v>
      </c>
      <c r="D89" s="1062" t="s">
        <v>857</v>
      </c>
      <c r="E89" s="1063">
        <f>-'FC-3_CPyG'!G30</f>
        <v>700493.11</v>
      </c>
      <c r="F89" s="1064"/>
      <c r="G89" s="1064"/>
      <c r="H89" s="1065">
        <f>F89+E89</f>
        <v>700493.11</v>
      </c>
      <c r="I89" s="1041"/>
      <c r="K89" s="1182"/>
    </row>
    <row r="90" spans="2:12" s="1042" customFormat="1" ht="18" hidden="1" x14ac:dyDescent="0.2">
      <c r="B90" s="1039"/>
      <c r="C90" s="1061" t="s">
        <v>40</v>
      </c>
      <c r="D90" s="1062" t="s">
        <v>858</v>
      </c>
      <c r="E90" s="1063">
        <f>'FC-3_CPyG'!G33</f>
        <v>-6556.33</v>
      </c>
      <c r="F90" s="1064"/>
      <c r="G90" s="1064"/>
      <c r="H90" s="1065">
        <f>F90+E90</f>
        <v>-6556.33</v>
      </c>
      <c r="I90" s="1041"/>
      <c r="K90" s="1182"/>
    </row>
    <row r="91" spans="2:12" s="1042" customFormat="1" ht="18" hidden="1" x14ac:dyDescent="0.2">
      <c r="B91" s="1039"/>
      <c r="C91" s="1177"/>
      <c r="D91" s="1186"/>
      <c r="E91" s="1064"/>
      <c r="F91" s="1064"/>
      <c r="G91" s="1168"/>
      <c r="H91" s="1065">
        <f>SUM(E91:G91)</f>
        <v>0</v>
      </c>
      <c r="I91" s="1041"/>
      <c r="K91" s="1182"/>
    </row>
    <row r="92" spans="2:12" s="1042" customFormat="1" ht="18" hidden="1" x14ac:dyDescent="0.2">
      <c r="B92" s="1039"/>
      <c r="C92" s="1179"/>
      <c r="D92" s="1187"/>
      <c r="E92" s="1064"/>
      <c r="F92" s="1064"/>
      <c r="G92" s="1169"/>
      <c r="H92" s="1065">
        <f>SUM(E92:G92)</f>
        <v>0</v>
      </c>
      <c r="I92" s="1041"/>
      <c r="K92" s="1182"/>
    </row>
    <row r="93" spans="2:12" s="1060" customFormat="1" ht="18" x14ac:dyDescent="0.2">
      <c r="B93" s="1054"/>
      <c r="C93" s="1119" t="s">
        <v>192</v>
      </c>
      <c r="D93" s="1120" t="s">
        <v>621</v>
      </c>
      <c r="E93" s="1121">
        <f>SUM(E94:E105)</f>
        <v>2523394.0499999998</v>
      </c>
      <c r="F93" s="1121">
        <f t="shared" ref="F93" si="7">SUM(F94:F105)</f>
        <v>0</v>
      </c>
      <c r="G93" s="1121">
        <f>SUM(G94:G105)</f>
        <v>0</v>
      </c>
      <c r="H93" s="1121">
        <f>SUM(H94:H105)</f>
        <v>2523394.0499999998</v>
      </c>
      <c r="I93" s="1059"/>
      <c r="K93" s="1182"/>
    </row>
    <row r="94" spans="2:12" s="1042" customFormat="1" ht="18" hidden="1" x14ac:dyDescent="0.2">
      <c r="B94" s="1039"/>
      <c r="C94" s="1061" t="s">
        <v>859</v>
      </c>
      <c r="D94" s="1062" t="s">
        <v>860</v>
      </c>
      <c r="E94" s="1063">
        <f>-'FC-3_CPyG'!G22</f>
        <v>0</v>
      </c>
      <c r="F94" s="1064"/>
      <c r="G94" s="1064"/>
      <c r="H94" s="1065">
        <f>SUM(E94:G94)</f>
        <v>0</v>
      </c>
      <c r="I94" s="1041"/>
      <c r="K94" s="1182"/>
      <c r="L94" s="1068" t="s">
        <v>954</v>
      </c>
    </row>
    <row r="95" spans="2:12" s="1042" customFormat="1" ht="18" hidden="1" x14ac:dyDescent="0.2">
      <c r="B95" s="1039"/>
      <c r="C95" s="1061" t="s">
        <v>40</v>
      </c>
      <c r="D95" s="1062" t="s">
        <v>861</v>
      </c>
      <c r="E95" s="1063">
        <f>-'FC-3_CPyG'!G26</f>
        <v>0</v>
      </c>
      <c r="F95" s="1064"/>
      <c r="G95" s="1064"/>
      <c r="H95" s="1065">
        <f t="shared" ref="H95:H110" si="8">SUM(E95:G95)</f>
        <v>0</v>
      </c>
      <c r="I95" s="1041"/>
      <c r="K95" s="1182"/>
    </row>
    <row r="96" spans="2:12" s="1042" customFormat="1" ht="18" hidden="1" x14ac:dyDescent="0.2">
      <c r="B96" s="1039"/>
      <c r="C96" s="1061" t="s">
        <v>40</v>
      </c>
      <c r="D96" s="1062" t="s">
        <v>862</v>
      </c>
      <c r="E96" s="1063">
        <f>-'FC-3_CPyG'!G35</f>
        <v>2513094.0499999998</v>
      </c>
      <c r="F96" s="1064"/>
      <c r="G96" s="1064"/>
      <c r="H96" s="1065">
        <f t="shared" si="8"/>
        <v>2513094.0499999998</v>
      </c>
      <c r="I96" s="1041"/>
      <c r="K96" s="1182"/>
    </row>
    <row r="97" spans="2:12" s="1042" customFormat="1" ht="18" hidden="1" x14ac:dyDescent="0.2">
      <c r="B97" s="1039"/>
      <c r="C97" s="1061" t="s">
        <v>40</v>
      </c>
      <c r="D97" s="1062" t="s">
        <v>863</v>
      </c>
      <c r="E97" s="1063">
        <f>-'FC-3_CPyG'!G36</f>
        <v>10300</v>
      </c>
      <c r="F97" s="1064"/>
      <c r="G97" s="1064"/>
      <c r="H97" s="1065">
        <f t="shared" si="8"/>
        <v>10300</v>
      </c>
      <c r="I97" s="1041"/>
      <c r="K97" s="1182"/>
    </row>
    <row r="98" spans="2:12" s="1042" customFormat="1" ht="18" hidden="1" x14ac:dyDescent="0.2">
      <c r="B98" s="1039"/>
      <c r="C98" s="1061" t="s">
        <v>40</v>
      </c>
      <c r="D98" s="1062" t="s">
        <v>864</v>
      </c>
      <c r="E98" s="1063">
        <f>-'FC-3_CPyG'!G38</f>
        <v>0</v>
      </c>
      <c r="F98" s="1064"/>
      <c r="G98" s="1064"/>
      <c r="H98" s="1065">
        <f t="shared" si="8"/>
        <v>0</v>
      </c>
      <c r="I98" s="1041"/>
      <c r="K98" s="1182"/>
    </row>
    <row r="99" spans="2:12" s="1042" customFormat="1" ht="18" hidden="1" x14ac:dyDescent="0.2">
      <c r="B99" s="1039"/>
      <c r="C99" s="1061" t="s">
        <v>40</v>
      </c>
      <c r="D99" s="1062" t="s">
        <v>865</v>
      </c>
      <c r="E99" s="1063">
        <f>-'FC-3_CPyG'!G39</f>
        <v>0</v>
      </c>
      <c r="F99" s="1064"/>
      <c r="G99" s="1064"/>
      <c r="H99" s="1065">
        <f t="shared" si="8"/>
        <v>0</v>
      </c>
      <c r="I99" s="1041"/>
      <c r="K99" s="1182"/>
      <c r="L99" s="1122"/>
    </row>
    <row r="100" spans="2:12" s="1042" customFormat="1" ht="18" hidden="1" x14ac:dyDescent="0.2">
      <c r="B100" s="1039"/>
      <c r="C100" s="1061" t="s">
        <v>40</v>
      </c>
      <c r="D100" s="1062" t="s">
        <v>866</v>
      </c>
      <c r="E100" s="1063">
        <f>-'FC-3_CPyG'!G77</f>
        <v>0</v>
      </c>
      <c r="F100" s="1064"/>
      <c r="G100" s="1064"/>
      <c r="H100" s="1065">
        <f t="shared" si="8"/>
        <v>0</v>
      </c>
      <c r="I100" s="1041"/>
      <c r="K100" s="1182"/>
    </row>
    <row r="101" spans="2:12" s="1042" customFormat="1" ht="18" hidden="1" x14ac:dyDescent="0.2">
      <c r="B101" s="1039"/>
      <c r="C101" s="1061" t="s">
        <v>46</v>
      </c>
      <c r="D101" s="1062" t="s">
        <v>1020</v>
      </c>
      <c r="E101" s="1063">
        <f>-'FC-3_1_INF_ADIC_CPyG'!G57</f>
        <v>0</v>
      </c>
      <c r="F101" s="1064"/>
      <c r="G101" s="1064"/>
      <c r="H101" s="1065">
        <f t="shared" si="8"/>
        <v>0</v>
      </c>
      <c r="I101" s="1041"/>
      <c r="K101" s="1182"/>
    </row>
    <row r="102" spans="2:12" s="1042" customFormat="1" ht="18" hidden="1" x14ac:dyDescent="0.2">
      <c r="B102" s="1039"/>
      <c r="C102" s="1061" t="s">
        <v>46</v>
      </c>
      <c r="D102" s="1062" t="s">
        <v>867</v>
      </c>
      <c r="E102" s="1063">
        <f>-'FC-3_1_INF_ADIC_CPyG'!G87</f>
        <v>0</v>
      </c>
      <c r="F102" s="1064"/>
      <c r="G102" s="1064"/>
      <c r="H102" s="1065">
        <f t="shared" si="8"/>
        <v>0</v>
      </c>
      <c r="I102" s="1041"/>
      <c r="K102" s="1182"/>
    </row>
    <row r="103" spans="2:12" s="1128" customFormat="1" ht="18" hidden="1" x14ac:dyDescent="0.2">
      <c r="B103" s="1123"/>
      <c r="C103" s="1124"/>
      <c r="D103" s="1125" t="s">
        <v>868</v>
      </c>
      <c r="E103" s="1126"/>
      <c r="F103" s="1171"/>
      <c r="G103" s="1171"/>
      <c r="H103" s="1065">
        <f t="shared" si="8"/>
        <v>0</v>
      </c>
      <c r="I103" s="1127"/>
      <c r="K103" s="1182"/>
      <c r="L103" s="1068" t="s">
        <v>952</v>
      </c>
    </row>
    <row r="104" spans="2:12" s="1042" customFormat="1" ht="18" hidden="1" x14ac:dyDescent="0.2">
      <c r="B104" s="1039"/>
      <c r="C104" s="1177"/>
      <c r="D104" s="1186"/>
      <c r="E104" s="1064"/>
      <c r="F104" s="1064"/>
      <c r="G104" s="1168"/>
      <c r="H104" s="1065">
        <f t="shared" si="8"/>
        <v>0</v>
      </c>
      <c r="I104" s="1041"/>
      <c r="K104" s="1182"/>
    </row>
    <row r="105" spans="2:12" s="1042" customFormat="1" ht="18" hidden="1" x14ac:dyDescent="0.2">
      <c r="B105" s="1039"/>
      <c r="C105" s="1179"/>
      <c r="D105" s="1187"/>
      <c r="E105" s="1064"/>
      <c r="F105" s="1064"/>
      <c r="G105" s="1169"/>
      <c r="H105" s="1065">
        <f t="shared" si="8"/>
        <v>0</v>
      </c>
      <c r="I105" s="1041"/>
      <c r="K105" s="1182"/>
    </row>
    <row r="106" spans="2:12" s="1060" customFormat="1" ht="18" x14ac:dyDescent="0.2">
      <c r="B106" s="1054"/>
      <c r="C106" s="1119" t="s">
        <v>197</v>
      </c>
      <c r="D106" s="1120" t="s">
        <v>386</v>
      </c>
      <c r="E106" s="1121">
        <f>SUM(E107:E111)</f>
        <v>0</v>
      </c>
      <c r="F106" s="1121">
        <f t="shared" ref="F106:H106" si="9">SUM(F107:F111)</f>
        <v>0</v>
      </c>
      <c r="G106" s="1121">
        <f t="shared" si="9"/>
        <v>0</v>
      </c>
      <c r="H106" s="1121">
        <f t="shared" si="9"/>
        <v>0</v>
      </c>
      <c r="I106" s="1059"/>
      <c r="K106" s="1182"/>
    </row>
    <row r="107" spans="2:12" s="1042" customFormat="1" ht="18" hidden="1" x14ac:dyDescent="0.2">
      <c r="B107" s="1039"/>
      <c r="C107" s="1061" t="s">
        <v>40</v>
      </c>
      <c r="D107" s="1062" t="s">
        <v>869</v>
      </c>
      <c r="E107" s="1063">
        <f>-'FC-3_CPyG'!G60</f>
        <v>0</v>
      </c>
      <c r="F107" s="1064"/>
      <c r="G107" s="1064"/>
      <c r="H107" s="1065">
        <f>SUM(E107:G107)</f>
        <v>0</v>
      </c>
      <c r="I107" s="1041"/>
      <c r="K107" s="1182"/>
    </row>
    <row r="108" spans="2:12" s="1042" customFormat="1" ht="18" hidden="1" x14ac:dyDescent="0.2">
      <c r="B108" s="1039"/>
      <c r="C108" s="1061" t="s">
        <v>40</v>
      </c>
      <c r="D108" s="1062" t="s">
        <v>870</v>
      </c>
      <c r="E108" s="1063">
        <f>-'FC-3_CPyG'!G61</f>
        <v>0</v>
      </c>
      <c r="F108" s="1064"/>
      <c r="G108" s="1064"/>
      <c r="H108" s="1065">
        <f t="shared" si="8"/>
        <v>0</v>
      </c>
      <c r="I108" s="1041"/>
      <c r="K108" s="1182"/>
    </row>
    <row r="109" spans="2:12" s="1042" customFormat="1" ht="18" hidden="1" x14ac:dyDescent="0.2">
      <c r="B109" s="1039"/>
      <c r="C109" s="1061" t="s">
        <v>40</v>
      </c>
      <c r="D109" s="1062" t="s">
        <v>871</v>
      </c>
      <c r="E109" s="1063">
        <f>-'FC-3_CPyG'!G71</f>
        <v>0</v>
      </c>
      <c r="F109" s="1064"/>
      <c r="G109" s="1064"/>
      <c r="H109" s="1065">
        <f>SUM(E109:G109)</f>
        <v>0</v>
      </c>
      <c r="I109" s="1041"/>
      <c r="K109" s="1182"/>
    </row>
    <row r="110" spans="2:12" s="1042" customFormat="1" ht="18" hidden="1" x14ac:dyDescent="0.2">
      <c r="B110" s="1039"/>
      <c r="C110" s="1177"/>
      <c r="D110" s="1186"/>
      <c r="E110" s="1064"/>
      <c r="F110" s="1064"/>
      <c r="G110" s="1168"/>
      <c r="H110" s="1065">
        <f t="shared" si="8"/>
        <v>0</v>
      </c>
      <c r="I110" s="1041"/>
      <c r="K110" s="1182"/>
    </row>
    <row r="111" spans="2:12" s="1042" customFormat="1" ht="18" hidden="1" x14ac:dyDescent="0.2">
      <c r="B111" s="1039"/>
      <c r="C111" s="1179"/>
      <c r="D111" s="1188"/>
      <c r="E111" s="1064"/>
      <c r="F111" s="1064"/>
      <c r="G111" s="1169"/>
      <c r="H111" s="1065">
        <f>SUM(E111:G111)</f>
        <v>0</v>
      </c>
      <c r="I111" s="1041"/>
      <c r="K111" s="1182"/>
    </row>
    <row r="112" spans="2:12" s="1060" customFormat="1" ht="18" x14ac:dyDescent="0.2">
      <c r="B112" s="1054"/>
      <c r="C112" s="1119" t="s">
        <v>201</v>
      </c>
      <c r="D112" s="1120" t="s">
        <v>622</v>
      </c>
      <c r="E112" s="1121">
        <f>SUM(E113:E115)</f>
        <v>0</v>
      </c>
      <c r="F112" s="1121">
        <f>SUM(F113:F115)</f>
        <v>0</v>
      </c>
      <c r="G112" s="1121">
        <f>SUM(G113:G115)</f>
        <v>0</v>
      </c>
      <c r="H112" s="1121">
        <f>SUM(H113:H115)</f>
        <v>0</v>
      </c>
      <c r="I112" s="1059"/>
      <c r="K112" s="1182"/>
    </row>
    <row r="113" spans="2:12" s="1042" customFormat="1" ht="18" hidden="1" x14ac:dyDescent="0.2">
      <c r="B113" s="1039"/>
      <c r="C113" s="1061" t="s">
        <v>46</v>
      </c>
      <c r="D113" s="1062" t="s">
        <v>872</v>
      </c>
      <c r="E113" s="1063">
        <f>+'FC-3_1_INF_ADIC_CPyG'!G87</f>
        <v>0</v>
      </c>
      <c r="F113" s="1064"/>
      <c r="G113" s="1064"/>
      <c r="H113" s="1065">
        <f>SUM(E113:G113)</f>
        <v>0</v>
      </c>
      <c r="I113" s="1041"/>
      <c r="K113" s="1182"/>
    </row>
    <row r="114" spans="2:12" s="1042" customFormat="1" ht="18" hidden="1" x14ac:dyDescent="0.2">
      <c r="B114" s="1039"/>
      <c r="C114" s="1177"/>
      <c r="D114" s="1186"/>
      <c r="E114" s="1064"/>
      <c r="F114" s="1064"/>
      <c r="G114" s="1168"/>
      <c r="H114" s="1065">
        <f>SUM(E114:G114)</f>
        <v>0</v>
      </c>
      <c r="I114" s="1041"/>
      <c r="K114" s="1182"/>
    </row>
    <row r="115" spans="2:12" s="1042" customFormat="1" ht="18" x14ac:dyDescent="0.2">
      <c r="B115" s="1039"/>
      <c r="C115" s="1179"/>
      <c r="D115" s="1188"/>
      <c r="E115" s="1064"/>
      <c r="F115" s="1064"/>
      <c r="G115" s="1169"/>
      <c r="H115" s="1065">
        <f>SUM(E115:G115)</f>
        <v>0</v>
      </c>
      <c r="I115" s="1041"/>
      <c r="K115" s="1182"/>
    </row>
    <row r="116" spans="2:12" s="1089" customFormat="1" ht="18" x14ac:dyDescent="0.2">
      <c r="B116" s="1087"/>
      <c r="C116" s="1533" t="s">
        <v>623</v>
      </c>
      <c r="D116" s="1534"/>
      <c r="E116" s="1050">
        <f>E88+E93+E106+E112</f>
        <v>3217330.83</v>
      </c>
      <c r="F116" s="1050">
        <f t="shared" ref="F116:H116" si="10">F88+F93+F106+F112</f>
        <v>0</v>
      </c>
      <c r="G116" s="1050">
        <f t="shared" si="10"/>
        <v>0</v>
      </c>
      <c r="H116" s="1050">
        <f t="shared" si="10"/>
        <v>3217330.83</v>
      </c>
      <c r="I116" s="1088"/>
      <c r="K116" s="1182"/>
    </row>
    <row r="117" spans="2:12" s="1042" customFormat="1" ht="16" x14ac:dyDescent="0.2">
      <c r="B117" s="1039"/>
      <c r="C117" s="981"/>
      <c r="D117" s="1048"/>
      <c r="E117" s="1030"/>
      <c r="F117" s="1030"/>
      <c r="G117" s="1030"/>
      <c r="H117" s="1079"/>
      <c r="I117" s="1041"/>
      <c r="K117" s="1183"/>
    </row>
    <row r="118" spans="2:12" s="1060" customFormat="1" ht="18" x14ac:dyDescent="0.2">
      <c r="B118" s="1054"/>
      <c r="C118" s="1055" t="s">
        <v>212</v>
      </c>
      <c r="D118" s="1056" t="s">
        <v>624</v>
      </c>
      <c r="E118" s="1057">
        <f>SUM(E119:E122)</f>
        <v>0</v>
      </c>
      <c r="F118" s="1057">
        <f t="shared" ref="F118:G118" si="11">SUM(F119:F122)</f>
        <v>30000</v>
      </c>
      <c r="G118" s="1057">
        <f t="shared" si="11"/>
        <v>0</v>
      </c>
      <c r="H118" s="1057">
        <f>SUM(H119:H122)</f>
        <v>30000</v>
      </c>
      <c r="I118" s="1059"/>
      <c r="K118" s="1182"/>
    </row>
    <row r="119" spans="2:12" s="1042" customFormat="1" ht="18" hidden="1" x14ac:dyDescent="0.2">
      <c r="B119" s="1039"/>
      <c r="C119" s="1061" t="s">
        <v>49</v>
      </c>
      <c r="D119" s="1080" t="s">
        <v>873</v>
      </c>
      <c r="E119" s="1064"/>
      <c r="F119" s="1093">
        <f>+'FC-7_INF'!F31</f>
        <v>30000</v>
      </c>
      <c r="G119" s="1171"/>
      <c r="H119" s="1065">
        <f>SUM(E119:G119)</f>
        <v>30000</v>
      </c>
      <c r="I119" s="1041"/>
      <c r="K119" s="1182"/>
    </row>
    <row r="120" spans="2:12" s="1074" customFormat="1" ht="18" hidden="1" x14ac:dyDescent="0.2">
      <c r="B120" s="1072"/>
      <c r="C120" s="1061" t="s">
        <v>49</v>
      </c>
      <c r="D120" s="1080" t="s">
        <v>874</v>
      </c>
      <c r="E120" s="1064"/>
      <c r="F120" s="1093">
        <f>+'FC-7_INF'!H31</f>
        <v>0</v>
      </c>
      <c r="G120" s="1171"/>
      <c r="H120" s="1065">
        <f>SUM(E120:G120)</f>
        <v>0</v>
      </c>
      <c r="I120" s="1073"/>
      <c r="K120" s="1182"/>
    </row>
    <row r="121" spans="2:12" s="1074" customFormat="1" ht="18" hidden="1" x14ac:dyDescent="0.2">
      <c r="B121" s="1072"/>
      <c r="C121" s="1177"/>
      <c r="D121" s="1178"/>
      <c r="E121" s="1064"/>
      <c r="F121" s="1064"/>
      <c r="G121" s="950"/>
      <c r="H121" s="1065">
        <f>SUM(E121:G121)</f>
        <v>0</v>
      </c>
      <c r="I121" s="1073"/>
      <c r="K121" s="1182"/>
    </row>
    <row r="122" spans="2:12" s="1074" customFormat="1" ht="18" hidden="1" x14ac:dyDescent="0.2">
      <c r="B122" s="1072"/>
      <c r="C122" s="1179"/>
      <c r="D122" s="1187"/>
      <c r="E122" s="1129"/>
      <c r="F122" s="1129"/>
      <c r="G122" s="1173"/>
      <c r="H122" s="1065">
        <f>SUM(E122:G122)</f>
        <v>0</v>
      </c>
      <c r="I122" s="1073"/>
      <c r="K122" s="1182"/>
    </row>
    <row r="123" spans="2:12" s="1060" customFormat="1" ht="18" x14ac:dyDescent="0.2">
      <c r="B123" s="1054"/>
      <c r="C123" s="1055" t="s">
        <v>214</v>
      </c>
      <c r="D123" s="1056" t="s">
        <v>611</v>
      </c>
      <c r="E123" s="1057">
        <f>SUM(E124:E126)</f>
        <v>0</v>
      </c>
      <c r="F123" s="1057">
        <f>SUM(F124:F126)</f>
        <v>0</v>
      </c>
      <c r="G123" s="1057">
        <f>SUM(G124:G126)</f>
        <v>0</v>
      </c>
      <c r="H123" s="1057">
        <f>SUM(H124:H126)</f>
        <v>0</v>
      </c>
      <c r="I123" s="1059"/>
      <c r="K123" s="1182"/>
    </row>
    <row r="124" spans="2:12" s="1074" customFormat="1" ht="18" hidden="1" x14ac:dyDescent="0.2">
      <c r="B124" s="1072"/>
      <c r="C124" s="1061" t="s">
        <v>980</v>
      </c>
      <c r="D124" s="1080" t="s">
        <v>875</v>
      </c>
      <c r="E124" s="1064"/>
      <c r="F124" s="1098">
        <f>'FC-4_1_MOV_FP'!G38</f>
        <v>0</v>
      </c>
      <c r="G124" s="1172"/>
      <c r="H124" s="1065">
        <f>SUM(E124:G124)</f>
        <v>0</v>
      </c>
      <c r="I124" s="1073"/>
      <c r="K124" s="1182"/>
      <c r="L124" s="1068"/>
    </row>
    <row r="125" spans="2:12" s="1074" customFormat="1" ht="18" hidden="1" x14ac:dyDescent="0.2">
      <c r="B125" s="1072"/>
      <c r="C125" s="1177"/>
      <c r="D125" s="1178"/>
      <c r="E125" s="1064"/>
      <c r="F125" s="1064"/>
      <c r="G125" s="951"/>
      <c r="H125" s="1065">
        <f>SUM(E125:G125)</f>
        <v>0</v>
      </c>
      <c r="I125" s="1073"/>
      <c r="K125" s="1182"/>
    </row>
    <row r="126" spans="2:12" s="1074" customFormat="1" ht="18" x14ac:dyDescent="0.2">
      <c r="B126" s="1072"/>
      <c r="C126" s="1179"/>
      <c r="D126" s="1187"/>
      <c r="E126" s="1129"/>
      <c r="F126" s="1129"/>
      <c r="G126" s="1174"/>
      <c r="H126" s="1065">
        <f>SUM(E126:G126)</f>
        <v>0</v>
      </c>
      <c r="I126" s="1073"/>
      <c r="K126" s="1182"/>
    </row>
    <row r="127" spans="2:12" s="1089" customFormat="1" ht="18" x14ac:dyDescent="0.2">
      <c r="B127" s="1087"/>
      <c r="C127" s="1533" t="s">
        <v>625</v>
      </c>
      <c r="D127" s="1534"/>
      <c r="E127" s="1050">
        <f>+E118+E123</f>
        <v>0</v>
      </c>
      <c r="F127" s="1050">
        <f t="shared" ref="F127:H127" si="12">+F118+F123</f>
        <v>30000</v>
      </c>
      <c r="G127" s="1050">
        <f t="shared" si="12"/>
        <v>0</v>
      </c>
      <c r="H127" s="1050">
        <f t="shared" si="12"/>
        <v>30000</v>
      </c>
      <c r="I127" s="1088"/>
      <c r="K127" s="1182"/>
    </row>
    <row r="128" spans="2:12" s="1042" customFormat="1" ht="16" x14ac:dyDescent="0.2">
      <c r="B128" s="1039"/>
      <c r="C128" s="981"/>
      <c r="D128" s="1048"/>
      <c r="E128" s="1030"/>
      <c r="F128" s="1030"/>
      <c r="G128" s="1030"/>
      <c r="H128" s="1079"/>
      <c r="I128" s="1041"/>
      <c r="K128" s="1183"/>
    </row>
    <row r="129" spans="2:12" s="1060" customFormat="1" ht="18" x14ac:dyDescent="0.2">
      <c r="B129" s="1054"/>
      <c r="C129" s="1055" t="s">
        <v>265</v>
      </c>
      <c r="D129" s="1056" t="s">
        <v>613</v>
      </c>
      <c r="E129" s="1057">
        <f>SUM(E130:E135)</f>
        <v>0</v>
      </c>
      <c r="F129" s="1057">
        <f>SUM(F130:F135)</f>
        <v>0</v>
      </c>
      <c r="G129" s="1057">
        <f>SUM(G130:G135)</f>
        <v>0</v>
      </c>
      <c r="H129" s="1057">
        <f>SUM(H130:H135)</f>
        <v>0</v>
      </c>
      <c r="I129" s="1059"/>
      <c r="K129" s="1182"/>
    </row>
    <row r="130" spans="2:12" s="1074" customFormat="1" ht="18" hidden="1" x14ac:dyDescent="0.2">
      <c r="B130" s="1072"/>
      <c r="C130" s="1061" t="s">
        <v>51</v>
      </c>
      <c r="D130" s="1080" t="s">
        <v>904</v>
      </c>
      <c r="E130" s="1064"/>
      <c r="F130" s="1093">
        <f>'FC-8_INV_FINANCIERAS'!G25</f>
        <v>0</v>
      </c>
      <c r="G130" s="951"/>
      <c r="H130" s="1065">
        <f>SUM(E130:G130)</f>
        <v>0</v>
      </c>
      <c r="I130" s="1073"/>
      <c r="K130" s="1182"/>
    </row>
    <row r="131" spans="2:12" s="1074" customFormat="1" ht="18" hidden="1" x14ac:dyDescent="0.2">
      <c r="B131" s="1072"/>
      <c r="C131" s="1061" t="s">
        <v>51</v>
      </c>
      <c r="D131" s="1080" t="s">
        <v>905</v>
      </c>
      <c r="E131" s="1064"/>
      <c r="F131" s="1093">
        <f>'FC-8_INV_FINANCIERAS'!G34</f>
        <v>0</v>
      </c>
      <c r="G131" s="1172"/>
      <c r="H131" s="1065">
        <f t="shared" ref="H131:H135" si="13">SUM(E131:G131)</f>
        <v>0</v>
      </c>
      <c r="I131" s="1073"/>
      <c r="K131" s="1182"/>
    </row>
    <row r="132" spans="2:12" s="1074" customFormat="1" ht="18" hidden="1" x14ac:dyDescent="0.2">
      <c r="B132" s="1072"/>
      <c r="C132" s="1061" t="s">
        <v>51</v>
      </c>
      <c r="D132" s="1080" t="s">
        <v>906</v>
      </c>
      <c r="E132" s="1064"/>
      <c r="F132" s="1093">
        <f>'FC-8_INV_FINANCIERAS'!G49</f>
        <v>0</v>
      </c>
      <c r="G132" s="951"/>
      <c r="H132" s="1065">
        <f t="shared" si="13"/>
        <v>0</v>
      </c>
      <c r="I132" s="1073"/>
      <c r="K132" s="1182"/>
    </row>
    <row r="133" spans="2:12" s="1074" customFormat="1" ht="18" hidden="1" x14ac:dyDescent="0.2">
      <c r="B133" s="1072"/>
      <c r="C133" s="1061" t="s">
        <v>51</v>
      </c>
      <c r="D133" s="1080" t="s">
        <v>876</v>
      </c>
      <c r="E133" s="1064"/>
      <c r="F133" s="1093">
        <f>'FC-8_INV_FINANCIERAS'!G58</f>
        <v>0</v>
      </c>
      <c r="G133" s="951"/>
      <c r="H133" s="1065">
        <f t="shared" si="13"/>
        <v>0</v>
      </c>
      <c r="I133" s="1073"/>
      <c r="K133" s="1182"/>
    </row>
    <row r="134" spans="2:12" s="1074" customFormat="1" ht="18" hidden="1" x14ac:dyDescent="0.2">
      <c r="B134" s="1072"/>
      <c r="C134" s="1177"/>
      <c r="D134" s="1178"/>
      <c r="E134" s="1064"/>
      <c r="F134" s="1064"/>
      <c r="G134" s="951"/>
      <c r="H134" s="1065">
        <f t="shared" si="13"/>
        <v>0</v>
      </c>
      <c r="I134" s="1073"/>
      <c r="K134" s="1182"/>
    </row>
    <row r="135" spans="2:12" s="1074" customFormat="1" ht="18" hidden="1" x14ac:dyDescent="0.2">
      <c r="B135" s="1072"/>
      <c r="C135" s="1179"/>
      <c r="D135" s="1187"/>
      <c r="E135" s="1129"/>
      <c r="F135" s="1129"/>
      <c r="G135" s="1174"/>
      <c r="H135" s="1065">
        <f t="shared" si="13"/>
        <v>0</v>
      </c>
      <c r="I135" s="1073"/>
      <c r="K135" s="1182"/>
    </row>
    <row r="136" spans="2:12" s="1074" customFormat="1" ht="18" x14ac:dyDescent="0.2">
      <c r="B136" s="1072"/>
      <c r="C136" s="1090" t="s">
        <v>267</v>
      </c>
      <c r="D136" s="686" t="s">
        <v>614</v>
      </c>
      <c r="E136" s="1091">
        <f>SUM(E137:E144)</f>
        <v>0</v>
      </c>
      <c r="F136" s="1091">
        <f>SUM(F137:F144)</f>
        <v>228500</v>
      </c>
      <c r="G136" s="1091">
        <f>SUM(G137:G144)</f>
        <v>0</v>
      </c>
      <c r="H136" s="1091">
        <f>SUM(H137:H144)</f>
        <v>228500</v>
      </c>
      <c r="I136" s="1073"/>
      <c r="K136" s="1182"/>
    </row>
    <row r="137" spans="2:12" s="1074" customFormat="1" ht="18" hidden="1" x14ac:dyDescent="0.2">
      <c r="B137" s="1072"/>
      <c r="C137" s="1061" t="s">
        <v>55</v>
      </c>
      <c r="D137" s="1080" t="s">
        <v>907</v>
      </c>
      <c r="E137" s="1064"/>
      <c r="F137" s="1098">
        <f>'FC-10_DEUDAS'!N43</f>
        <v>0</v>
      </c>
      <c r="G137" s="1172"/>
      <c r="H137" s="1065">
        <f t="shared" ref="H137:H144" si="14">SUM(E137:G137)</f>
        <v>0</v>
      </c>
      <c r="I137" s="1073"/>
      <c r="K137" s="1182"/>
    </row>
    <row r="138" spans="2:12" s="1074" customFormat="1" ht="18" hidden="1" x14ac:dyDescent="0.2">
      <c r="B138" s="1072"/>
      <c r="C138" s="1061"/>
      <c r="D138" s="1080" t="s">
        <v>877</v>
      </c>
      <c r="E138" s="1064"/>
      <c r="F138" s="1175"/>
      <c r="G138" s="1172"/>
      <c r="H138" s="1065">
        <f t="shared" si="14"/>
        <v>0</v>
      </c>
      <c r="I138" s="1073"/>
      <c r="K138" s="1182"/>
      <c r="L138" s="1068" t="s">
        <v>952</v>
      </c>
    </row>
    <row r="139" spans="2:12" s="1086" customFormat="1" ht="18" hidden="1" x14ac:dyDescent="0.2">
      <c r="B139" s="1083"/>
      <c r="C139" s="1061"/>
      <c r="D139" s="1080" t="s">
        <v>878</v>
      </c>
      <c r="E139" s="1084"/>
      <c r="F139" s="953"/>
      <c r="G139" s="950"/>
      <c r="H139" s="1065">
        <f t="shared" si="14"/>
        <v>0</v>
      </c>
      <c r="I139" s="1085"/>
      <c r="K139" s="1182"/>
      <c r="L139" s="1068" t="s">
        <v>952</v>
      </c>
    </row>
    <row r="140" spans="2:12" s="1086" customFormat="1" ht="18" hidden="1" x14ac:dyDescent="0.2">
      <c r="B140" s="1083"/>
      <c r="C140" s="1061" t="s">
        <v>55</v>
      </c>
      <c r="D140" s="1080" t="s">
        <v>879</v>
      </c>
      <c r="E140" s="1084"/>
      <c r="F140" s="1098">
        <f>'FC-10_DEUDAS'!N75</f>
        <v>228500</v>
      </c>
      <c r="G140" s="1172"/>
      <c r="H140" s="1065">
        <f t="shared" si="14"/>
        <v>228500</v>
      </c>
      <c r="I140" s="1085"/>
      <c r="K140" s="1182"/>
      <c r="L140" s="1068"/>
    </row>
    <row r="141" spans="2:12" s="1074" customFormat="1" ht="18" hidden="1" x14ac:dyDescent="0.2">
      <c r="B141" s="1072"/>
      <c r="C141" s="1061" t="s">
        <v>55</v>
      </c>
      <c r="D141" s="1080" t="s">
        <v>880</v>
      </c>
      <c r="E141" s="1064"/>
      <c r="F141" s="1098">
        <f>'FC-10_DEUDAS'!N107</f>
        <v>0</v>
      </c>
      <c r="G141" s="951"/>
      <c r="H141" s="1065">
        <f t="shared" si="14"/>
        <v>0</v>
      </c>
      <c r="I141" s="1073"/>
      <c r="K141" s="1182"/>
    </row>
    <row r="142" spans="2:12" s="1074" customFormat="1" ht="18" hidden="1" x14ac:dyDescent="0.2">
      <c r="B142" s="1072"/>
      <c r="C142" s="1061"/>
      <c r="D142" s="1080" t="s">
        <v>881</v>
      </c>
      <c r="E142" s="1064"/>
      <c r="F142" s="953"/>
      <c r="G142" s="951"/>
      <c r="H142" s="1065">
        <f t="shared" si="14"/>
        <v>0</v>
      </c>
      <c r="I142" s="1073"/>
      <c r="K142" s="1182"/>
      <c r="L142" s="1130" t="s">
        <v>952</v>
      </c>
    </row>
    <row r="143" spans="2:12" s="1074" customFormat="1" ht="18" hidden="1" x14ac:dyDescent="0.2">
      <c r="B143" s="1072"/>
      <c r="C143" s="1177"/>
      <c r="D143" s="1178"/>
      <c r="E143" s="1064"/>
      <c r="F143" s="1064"/>
      <c r="G143" s="951"/>
      <c r="H143" s="1065">
        <f t="shared" si="14"/>
        <v>0</v>
      </c>
      <c r="I143" s="1073"/>
      <c r="K143" s="1182"/>
    </row>
    <row r="144" spans="2:12" s="1074" customFormat="1" ht="18" x14ac:dyDescent="0.2">
      <c r="B144" s="1072"/>
      <c r="C144" s="1179"/>
      <c r="D144" s="1187"/>
      <c r="E144" s="1129"/>
      <c r="F144" s="1129"/>
      <c r="G144" s="1174"/>
      <c r="H144" s="1065">
        <f t="shared" si="14"/>
        <v>0</v>
      </c>
      <c r="I144" s="1073"/>
      <c r="K144" s="1182"/>
    </row>
    <row r="145" spans="2:12" s="1078" customFormat="1" ht="18" x14ac:dyDescent="0.2">
      <c r="B145" s="1075"/>
      <c r="C145" s="1541" t="s">
        <v>626</v>
      </c>
      <c r="D145" s="1542"/>
      <c r="E145" s="1076">
        <f>+E129+E136</f>
        <v>0</v>
      </c>
      <c r="F145" s="1076">
        <f>+F129+F136</f>
        <v>228500</v>
      </c>
      <c r="G145" s="1076">
        <f>+G129+G136</f>
        <v>0</v>
      </c>
      <c r="H145" s="1076">
        <f>+H129+H136</f>
        <v>228500</v>
      </c>
      <c r="I145" s="1077"/>
      <c r="K145" s="1182"/>
    </row>
    <row r="146" spans="2:12" s="1042" customFormat="1" ht="16" x14ac:dyDescent="0.2">
      <c r="B146" s="1039"/>
      <c r="C146" s="1048"/>
      <c r="D146" s="1029"/>
      <c r="E146" s="1030"/>
      <c r="F146" s="1030"/>
      <c r="G146" s="1030"/>
      <c r="H146" s="1102"/>
      <c r="I146" s="1041"/>
      <c r="K146" s="1183"/>
    </row>
    <row r="147" spans="2:12" s="1089" customFormat="1" ht="19" thickBot="1" x14ac:dyDescent="0.25">
      <c r="B147" s="1087"/>
      <c r="C147" s="1543" t="s">
        <v>882</v>
      </c>
      <c r="D147" s="1544"/>
      <c r="E147" s="1131">
        <f>+E116+E127+E145</f>
        <v>3217330.83</v>
      </c>
      <c r="F147" s="1131">
        <f>+F116+F127+F145</f>
        <v>258500</v>
      </c>
      <c r="G147" s="1131">
        <f>+G116+G127+G145</f>
        <v>0</v>
      </c>
      <c r="H147" s="1131">
        <f>+H116+H127+H145</f>
        <v>3475830.83</v>
      </c>
      <c r="I147" s="1088"/>
      <c r="K147" s="1182"/>
    </row>
    <row r="148" spans="2:12" s="1042" customFormat="1" ht="16" x14ac:dyDescent="0.2">
      <c r="B148" s="1039"/>
      <c r="C148" s="981"/>
      <c r="D148" s="1048"/>
      <c r="E148" s="1030"/>
      <c r="F148" s="1030"/>
      <c r="G148" s="1030"/>
      <c r="H148" s="1079"/>
      <c r="I148" s="1041"/>
      <c r="K148" s="1183"/>
    </row>
    <row r="149" spans="2:12" s="1042" customFormat="1" ht="19" thickBot="1" x14ac:dyDescent="0.25">
      <c r="B149" s="1039"/>
      <c r="C149" s="1132" t="s">
        <v>883</v>
      </c>
      <c r="D149" s="1133"/>
      <c r="E149" s="1134">
        <f>E70-E147</f>
        <v>-1400447.08</v>
      </c>
      <c r="F149" s="1134">
        <f>F70-F147</f>
        <v>1448012.93</v>
      </c>
      <c r="G149" s="1134">
        <f>G70-G147</f>
        <v>0</v>
      </c>
      <c r="H149" s="1134">
        <f>H70-H147</f>
        <v>47565.849999999627</v>
      </c>
      <c r="I149" s="1041"/>
      <c r="K149" s="1182"/>
    </row>
    <row r="150" spans="2:12" s="1042" customFormat="1" ht="17" thickTop="1" x14ac:dyDescent="0.2">
      <c r="B150" s="1039"/>
      <c r="C150" s="981"/>
      <c r="D150" s="1048"/>
      <c r="E150" s="1030"/>
      <c r="F150" s="1030"/>
      <c r="G150" s="1030"/>
      <c r="H150" s="1079"/>
      <c r="I150" s="1041"/>
      <c r="K150" s="1183"/>
    </row>
    <row r="151" spans="2:12" s="1042" customFormat="1" ht="16" x14ac:dyDescent="0.2">
      <c r="B151" s="1039"/>
      <c r="C151" s="981"/>
      <c r="D151" s="1048"/>
      <c r="E151" s="1030"/>
      <c r="F151" s="1030"/>
      <c r="G151" s="1030"/>
      <c r="H151" s="1079"/>
      <c r="I151" s="1041"/>
      <c r="K151" s="1183"/>
    </row>
    <row r="152" spans="2:12" s="1139" customFormat="1" ht="18" x14ac:dyDescent="0.2">
      <c r="B152" s="1135"/>
      <c r="C152" s="1545" t="s">
        <v>628</v>
      </c>
      <c r="D152" s="1546"/>
      <c r="E152" s="1136">
        <f>SUM(E153:E164)</f>
        <v>51662.66</v>
      </c>
      <c r="F152" s="1137">
        <f>SUM(F153:F164)</f>
        <v>0</v>
      </c>
      <c r="G152" s="1137">
        <f>SUM(G153:G164)</f>
        <v>0</v>
      </c>
      <c r="H152" s="1137">
        <f>SUM(H153:H164)</f>
        <v>51662.66</v>
      </c>
      <c r="I152" s="1138"/>
      <c r="K152" s="1182"/>
    </row>
    <row r="153" spans="2:12" s="1074" customFormat="1" ht="18" hidden="1" x14ac:dyDescent="0.2">
      <c r="B153" s="1072"/>
      <c r="C153" s="1061" t="s">
        <v>40</v>
      </c>
      <c r="D153" s="1062" t="s">
        <v>846</v>
      </c>
      <c r="E153" s="1063">
        <f>IF('FC-3_CPyG'!G20&lt;0,-'FC-3_CPyG'!G20,0)</f>
        <v>0</v>
      </c>
      <c r="F153" s="1064"/>
      <c r="G153" s="1064"/>
      <c r="H153" s="1065">
        <f>SUM(E153:G153)</f>
        <v>0</v>
      </c>
      <c r="I153" s="1073"/>
      <c r="K153" s="1182"/>
      <c r="L153" s="1074" t="s">
        <v>884</v>
      </c>
    </row>
    <row r="154" spans="2:12" s="1042" customFormat="1" ht="18" hidden="1" x14ac:dyDescent="0.2">
      <c r="B154" s="1039"/>
      <c r="C154" s="1061" t="s">
        <v>40</v>
      </c>
      <c r="D154" s="1062" t="s">
        <v>885</v>
      </c>
      <c r="E154" s="1063">
        <f>-'FC-3_CPyG'!G26</f>
        <v>0</v>
      </c>
      <c r="F154" s="1064"/>
      <c r="G154" s="1064"/>
      <c r="H154" s="1065">
        <f t="shared" ref="H154:H164" si="15">SUM(E154:G154)</f>
        <v>0</v>
      </c>
      <c r="I154" s="1041"/>
      <c r="K154" s="1182"/>
    </row>
    <row r="155" spans="2:12" s="1042" customFormat="1" ht="18" hidden="1" x14ac:dyDescent="0.2">
      <c r="B155" s="1039"/>
      <c r="C155" s="1061" t="s">
        <v>40</v>
      </c>
      <c r="D155" s="1062" t="s">
        <v>886</v>
      </c>
      <c r="E155" s="1063">
        <f>-'FC-3_CPyG'!G33</f>
        <v>6556.33</v>
      </c>
      <c r="F155" s="1064"/>
      <c r="G155" s="1064"/>
      <c r="H155" s="1065">
        <f t="shared" si="15"/>
        <v>6556.33</v>
      </c>
      <c r="I155" s="1041"/>
      <c r="K155" s="1182"/>
    </row>
    <row r="156" spans="2:12" s="1042" customFormat="1" ht="18" hidden="1" x14ac:dyDescent="0.2">
      <c r="B156" s="1039"/>
      <c r="C156" s="1061" t="s">
        <v>40</v>
      </c>
      <c r="D156" s="1062" t="s">
        <v>887</v>
      </c>
      <c r="E156" s="1063">
        <f>-'FC-3_CPyG'!G37</f>
        <v>0</v>
      </c>
      <c r="F156" s="1064"/>
      <c r="G156" s="1064"/>
      <c r="H156" s="1065">
        <f t="shared" si="15"/>
        <v>0</v>
      </c>
      <c r="I156" s="1041"/>
      <c r="K156" s="1182"/>
    </row>
    <row r="157" spans="2:12" s="1042" customFormat="1" ht="18" hidden="1" x14ac:dyDescent="0.2">
      <c r="B157" s="1039"/>
      <c r="C157" s="1061" t="s">
        <v>40</v>
      </c>
      <c r="D157" s="1062" t="s">
        <v>888</v>
      </c>
      <c r="E157" s="1063">
        <f>-'FC-3_CPyG'!G40</f>
        <v>45106.33</v>
      </c>
      <c r="F157" s="1064"/>
      <c r="G157" s="1064"/>
      <c r="H157" s="1065">
        <f t="shared" si="15"/>
        <v>45106.33</v>
      </c>
      <c r="I157" s="1041"/>
      <c r="K157" s="1182"/>
    </row>
    <row r="158" spans="2:12" s="1042" customFormat="1" ht="18" hidden="1" x14ac:dyDescent="0.2">
      <c r="B158" s="1039"/>
      <c r="C158" s="1061" t="s">
        <v>40</v>
      </c>
      <c r="D158" s="1062" t="s">
        <v>889</v>
      </c>
      <c r="E158" s="1063">
        <f>-'FC-3_CPyG'!G44</f>
        <v>0</v>
      </c>
      <c r="F158" s="1064"/>
      <c r="G158" s="1064"/>
      <c r="H158" s="1065">
        <f t="shared" si="15"/>
        <v>0</v>
      </c>
      <c r="I158" s="1041"/>
      <c r="K158" s="1182"/>
    </row>
    <row r="159" spans="2:12" s="1042" customFormat="1" ht="18" hidden="1" x14ac:dyDescent="0.2">
      <c r="B159" s="1039"/>
      <c r="C159" s="1233" t="s">
        <v>40</v>
      </c>
      <c r="D159" s="1234" t="s">
        <v>852</v>
      </c>
      <c r="E159" s="1235">
        <f>IF('FC-3_CPyG'!G45&lt;0,-'FC-3_CPyG'!G45,0)</f>
        <v>0</v>
      </c>
      <c r="F159" s="1064"/>
      <c r="G159" s="1064"/>
      <c r="H159" s="1065">
        <f t="shared" si="15"/>
        <v>0</v>
      </c>
      <c r="I159" s="1041"/>
      <c r="K159" s="1236" t="s">
        <v>983</v>
      </c>
    </row>
    <row r="160" spans="2:12" s="1042" customFormat="1" ht="18" hidden="1" x14ac:dyDescent="0.2">
      <c r="B160" s="1039"/>
      <c r="C160" s="1061" t="s">
        <v>40</v>
      </c>
      <c r="D160" s="1062" t="s">
        <v>890</v>
      </c>
      <c r="E160" s="1063">
        <f>-'FC-3_CPyG'!G46</f>
        <v>0</v>
      </c>
      <c r="F160" s="1064"/>
      <c r="G160" s="1064"/>
      <c r="H160" s="1065">
        <f t="shared" si="15"/>
        <v>0</v>
      </c>
      <c r="I160" s="1041"/>
      <c r="K160" s="1182"/>
      <c r="L160" s="1122"/>
    </row>
    <row r="161" spans="2:12" s="1042" customFormat="1" ht="18" hidden="1" x14ac:dyDescent="0.2">
      <c r="B161" s="1039"/>
      <c r="C161" s="1061" t="s">
        <v>1017</v>
      </c>
      <c r="D161" s="1062" t="s">
        <v>1019</v>
      </c>
      <c r="E161" s="1063">
        <f>-'FC-3_1_INF_ADIC_CPyG'!G61</f>
        <v>0</v>
      </c>
      <c r="F161" s="1064"/>
      <c r="G161" s="1064"/>
      <c r="H161" s="1065">
        <f t="shared" si="15"/>
        <v>0</v>
      </c>
      <c r="I161" s="1041"/>
      <c r="K161" s="1182"/>
      <c r="L161" s="1122"/>
    </row>
    <row r="162" spans="2:12" s="1042" customFormat="1" ht="18" hidden="1" x14ac:dyDescent="0.2">
      <c r="B162" s="1039"/>
      <c r="C162" s="1061" t="s">
        <v>40</v>
      </c>
      <c r="D162" s="1062" t="s">
        <v>891</v>
      </c>
      <c r="E162" s="1063">
        <f>-'FC-3_CPyG'!G62</f>
        <v>0</v>
      </c>
      <c r="F162" s="1064"/>
      <c r="G162" s="1064"/>
      <c r="H162" s="1065">
        <f t="shared" si="15"/>
        <v>0</v>
      </c>
      <c r="I162" s="1041"/>
      <c r="K162" s="1182"/>
    </row>
    <row r="163" spans="2:12" s="1042" customFormat="1" ht="18" hidden="1" x14ac:dyDescent="0.2">
      <c r="B163" s="1039"/>
      <c r="C163" s="1061" t="s">
        <v>40</v>
      </c>
      <c r="D163" s="1062" t="s">
        <v>892</v>
      </c>
      <c r="E163" s="1063">
        <f>-'FC-3_CPyG'!G66</f>
        <v>0</v>
      </c>
      <c r="F163" s="1064"/>
      <c r="G163" s="1064"/>
      <c r="H163" s="1065">
        <f t="shared" si="15"/>
        <v>0</v>
      </c>
      <c r="I163" s="1041"/>
      <c r="K163" s="1182"/>
    </row>
    <row r="164" spans="2:12" s="1042" customFormat="1" ht="18" hidden="1" x14ac:dyDescent="0.2">
      <c r="B164" s="1039"/>
      <c r="C164" s="1140" t="s">
        <v>40</v>
      </c>
      <c r="D164" s="1141" t="s">
        <v>893</v>
      </c>
      <c r="E164" s="1142">
        <f>-'FC-3_CPyG'!G67</f>
        <v>0</v>
      </c>
      <c r="F164" s="1143"/>
      <c r="G164" s="1143"/>
      <c r="H164" s="1144">
        <f t="shared" si="15"/>
        <v>0</v>
      </c>
      <c r="I164" s="1041"/>
      <c r="K164" s="1182"/>
    </row>
    <row r="165" spans="2:12" s="1042" customFormat="1" ht="16" x14ac:dyDescent="0.2">
      <c r="B165" s="1039"/>
      <c r="C165" s="1108"/>
      <c r="D165" s="1145"/>
      <c r="E165" s="1145"/>
      <c r="F165" s="1145"/>
      <c r="G165" s="1145"/>
      <c r="H165" s="1145"/>
      <c r="I165" s="1041"/>
      <c r="K165" s="1183"/>
    </row>
    <row r="166" spans="2:12" s="1042" customFormat="1" ht="19" thickBot="1" x14ac:dyDescent="0.25">
      <c r="B166" s="1039"/>
      <c r="C166" s="1531" t="s">
        <v>898</v>
      </c>
      <c r="D166" s="1532"/>
      <c r="E166" s="1110">
        <f>+E147+E152</f>
        <v>3268993.49</v>
      </c>
      <c r="F166" s="1110">
        <f t="shared" ref="F166:H166" si="16">+F147+F152</f>
        <v>258500</v>
      </c>
      <c r="G166" s="1110">
        <f t="shared" si="16"/>
        <v>0</v>
      </c>
      <c r="H166" s="1110">
        <f t="shared" si="16"/>
        <v>3527493.49</v>
      </c>
      <c r="I166" s="1041"/>
      <c r="K166" s="1182"/>
    </row>
    <row r="167" spans="2:12" s="1042" customFormat="1" ht="18" x14ac:dyDescent="0.2">
      <c r="B167" s="1039"/>
      <c r="C167" s="1146"/>
      <c r="D167" s="1146"/>
      <c r="E167" s="1147"/>
      <c r="F167" s="1147"/>
      <c r="G167" s="1147"/>
      <c r="H167" s="1147"/>
      <c r="I167" s="1041"/>
      <c r="K167" s="1183"/>
    </row>
    <row r="168" spans="2:12" s="1042" customFormat="1" ht="19" thickBot="1" x14ac:dyDescent="0.25">
      <c r="B168" s="1039"/>
      <c r="C168" s="1132" t="s">
        <v>896</v>
      </c>
      <c r="D168" s="1133"/>
      <c r="E168" s="1134">
        <f>+E83-E166</f>
        <v>-1433160.4300000002</v>
      </c>
      <c r="F168" s="1134">
        <f>+F83-F166</f>
        <v>1448012.93</v>
      </c>
      <c r="G168" s="1134">
        <f t="shared" ref="G168" si="17">+G83-G166</f>
        <v>0</v>
      </c>
      <c r="H168" s="1134">
        <f>+H83-H166</f>
        <v>14852.499999999534</v>
      </c>
      <c r="I168" s="1041"/>
      <c r="K168" s="1182"/>
    </row>
    <row r="169" spans="2:12" s="1042" customFormat="1" ht="17" thickTop="1" x14ac:dyDescent="0.2">
      <c r="B169" s="1039"/>
      <c r="C169" s="1108"/>
      <c r="D169" s="1108"/>
      <c r="E169" s="1148"/>
      <c r="F169" s="1148"/>
      <c r="G169" s="1148"/>
      <c r="H169" s="1149"/>
      <c r="I169" s="1041"/>
      <c r="K169" s="1183"/>
    </row>
    <row r="170" spans="2:12" s="1042" customFormat="1" ht="18" x14ac:dyDescent="0.2">
      <c r="B170" s="1039"/>
      <c r="C170" s="1547" t="s">
        <v>894</v>
      </c>
      <c r="D170" s="1548"/>
      <c r="E170" s="1150">
        <f>E171+E178+E180+E186+E187+E194</f>
        <v>0</v>
      </c>
      <c r="F170" s="1150">
        <f>F171+F178+F180+F186+F187+F194+F196</f>
        <v>-14852.499999999933</v>
      </c>
      <c r="G170" s="1150">
        <f>G171+G178+G180+G186+G187+G194+G196</f>
        <v>0</v>
      </c>
      <c r="H170" s="1150">
        <f>H171+H178+H180+H186+H187+H194+H196</f>
        <v>-14852.499999999933</v>
      </c>
      <c r="I170" s="1041"/>
      <c r="K170" s="1182"/>
    </row>
    <row r="171" spans="2:12" s="1042" customFormat="1" ht="18" hidden="1" x14ac:dyDescent="0.2">
      <c r="B171" s="1039"/>
      <c r="C171" s="1151" t="s">
        <v>183</v>
      </c>
      <c r="D171" s="1080"/>
      <c r="E171" s="1152"/>
      <c r="F171" s="1549">
        <f>SUM(F174:F177)</f>
        <v>45106.33</v>
      </c>
      <c r="G171" s="1549">
        <f>SUM(G174:G177)</f>
        <v>0</v>
      </c>
      <c r="H171" s="1549">
        <f>F171+G171</f>
        <v>45106.33</v>
      </c>
      <c r="I171" s="1041"/>
      <c r="K171" s="1182"/>
    </row>
    <row r="172" spans="2:12" s="1042" customFormat="1" ht="18" hidden="1" x14ac:dyDescent="0.2">
      <c r="B172" s="1039"/>
      <c r="C172" s="1153" t="s">
        <v>193</v>
      </c>
      <c r="D172" s="1080"/>
      <c r="E172" s="1152"/>
      <c r="F172" s="1550"/>
      <c r="G172" s="1550"/>
      <c r="H172" s="1550"/>
      <c r="I172" s="1041"/>
      <c r="K172" s="1182"/>
    </row>
    <row r="173" spans="2:12" s="1042" customFormat="1" ht="18" hidden="1" x14ac:dyDescent="0.2">
      <c r="B173" s="1039"/>
      <c r="C173" s="1153" t="s">
        <v>198</v>
      </c>
      <c r="D173" s="1080"/>
      <c r="E173" s="1152"/>
      <c r="F173" s="1551"/>
      <c r="G173" s="1551"/>
      <c r="H173" s="1551"/>
      <c r="I173" s="1041"/>
      <c r="K173" s="1182"/>
    </row>
    <row r="174" spans="2:12" s="1042" customFormat="1" ht="18" hidden="1" x14ac:dyDescent="0.2">
      <c r="B174" s="1039"/>
      <c r="C174" s="1061" t="s">
        <v>49</v>
      </c>
      <c r="D174" s="1080" t="s">
        <v>909</v>
      </c>
      <c r="E174" s="1064"/>
      <c r="F174" s="1093">
        <f>-'FC-7_INF'!G31</f>
        <v>0</v>
      </c>
      <c r="G174" s="1171"/>
      <c r="H174" s="1065"/>
      <c r="I174" s="1041"/>
      <c r="K174" s="1182"/>
    </row>
    <row r="175" spans="2:12" s="1042" customFormat="1" ht="18" hidden="1" x14ac:dyDescent="0.2">
      <c r="B175" s="1039"/>
      <c r="C175" s="1061" t="s">
        <v>49</v>
      </c>
      <c r="D175" s="1080" t="s">
        <v>910</v>
      </c>
      <c r="E175" s="1064"/>
      <c r="F175" s="1093">
        <f>-'FC-7_INF'!I31</f>
        <v>45106.33</v>
      </c>
      <c r="G175" s="1171"/>
      <c r="H175" s="1065"/>
      <c r="I175" s="1041"/>
      <c r="K175" s="1182"/>
    </row>
    <row r="176" spans="2:12" s="1042" customFormat="1" ht="18" hidden="1" x14ac:dyDescent="0.2">
      <c r="B176" s="1039"/>
      <c r="C176" s="1061" t="s">
        <v>49</v>
      </c>
      <c r="D176" s="1080" t="s">
        <v>911</v>
      </c>
      <c r="E176" s="1064"/>
      <c r="F176" s="1093">
        <f>-'FC-7_INF'!J31</f>
        <v>0</v>
      </c>
      <c r="G176" s="1171"/>
      <c r="H176" s="1065"/>
      <c r="I176" s="1041"/>
      <c r="K176" s="1182"/>
    </row>
    <row r="177" spans="2:11" s="1042" customFormat="1" ht="18" hidden="1" x14ac:dyDescent="0.2">
      <c r="B177" s="1039"/>
      <c r="C177" s="1061" t="s">
        <v>49</v>
      </c>
      <c r="D177" s="1080" t="s">
        <v>912</v>
      </c>
      <c r="E177" s="1064"/>
      <c r="F177" s="1093">
        <f>-'FC-7_INF'!L31</f>
        <v>0</v>
      </c>
      <c r="G177" s="1171"/>
      <c r="H177" s="1065"/>
      <c r="I177" s="1041"/>
      <c r="K177" s="1182"/>
    </row>
    <row r="178" spans="2:11" s="1042" customFormat="1" ht="18" hidden="1" x14ac:dyDescent="0.2">
      <c r="B178" s="1039"/>
      <c r="C178" s="1153" t="s">
        <v>52</v>
      </c>
      <c r="D178" s="1080"/>
      <c r="E178" s="1064"/>
      <c r="F178" s="1154">
        <f>F179</f>
        <v>0</v>
      </c>
      <c r="G178" s="1154">
        <f>G179</f>
        <v>0</v>
      </c>
      <c r="H178" s="1155">
        <f>F178+G178</f>
        <v>0</v>
      </c>
      <c r="I178" s="1041"/>
      <c r="K178" s="1182"/>
    </row>
    <row r="179" spans="2:11" s="1042" customFormat="1" ht="18" hidden="1" x14ac:dyDescent="0.2">
      <c r="B179" s="1039"/>
      <c r="C179" s="1061" t="s">
        <v>51</v>
      </c>
      <c r="D179" s="1080" t="s">
        <v>415</v>
      </c>
      <c r="E179" s="1064"/>
      <c r="F179" s="1093">
        <f>-'FC-8_INV_FINANCIERAS'!I25-'FC-8_INV_FINANCIERAS'!I34-'FC-8_INV_FINANCIERAS'!I49-'FC-8_INV_FINANCIERAS'!I58</f>
        <v>0</v>
      </c>
      <c r="G179" s="1171"/>
      <c r="H179" s="1065"/>
      <c r="I179" s="1041"/>
      <c r="K179" s="1182"/>
    </row>
    <row r="180" spans="2:11" s="1042" customFormat="1" ht="18" hidden="1" x14ac:dyDescent="0.2">
      <c r="B180" s="1039"/>
      <c r="C180" s="1153" t="s">
        <v>913</v>
      </c>
      <c r="D180" s="1080"/>
      <c r="E180" s="1064"/>
      <c r="F180" s="1154">
        <f>SUM(F181:F185)</f>
        <v>-242378.3</v>
      </c>
      <c r="G180" s="1154">
        <f>SUM(G181:G185)</f>
        <v>0</v>
      </c>
      <c r="H180" s="1155">
        <f>F180+G180</f>
        <v>-242378.3</v>
      </c>
      <c r="I180" s="1041"/>
      <c r="K180" s="1182"/>
    </row>
    <row r="181" spans="2:11" s="1042" customFormat="1" ht="18" hidden="1" x14ac:dyDescent="0.2">
      <c r="B181" s="1039"/>
      <c r="C181" s="1061" t="s">
        <v>923</v>
      </c>
      <c r="D181" s="1080" t="s">
        <v>917</v>
      </c>
      <c r="E181" s="1064"/>
      <c r="F181" s="1093">
        <f>'FC-4_ACTIVO'!F51-'FC-4_ACTIVO'!G51</f>
        <v>0</v>
      </c>
      <c r="G181" s="1171"/>
      <c r="H181" s="1065"/>
      <c r="I181" s="1041"/>
      <c r="K181" s="1182"/>
    </row>
    <row r="182" spans="2:11" s="1042" customFormat="1" ht="18" hidden="1" x14ac:dyDescent="0.2">
      <c r="B182" s="1039"/>
      <c r="C182" s="1061" t="s">
        <v>923</v>
      </c>
      <c r="D182" s="1080" t="s">
        <v>918</v>
      </c>
      <c r="E182" s="1064"/>
      <c r="F182" s="1093">
        <f>'FC-4_ACTIVO'!F52-'FC-4_ACTIVO'!G52</f>
        <v>0</v>
      </c>
      <c r="G182" s="1171"/>
      <c r="H182" s="1065"/>
      <c r="I182" s="1041"/>
      <c r="K182" s="1182"/>
    </row>
    <row r="183" spans="2:11" s="1042" customFormat="1" ht="18" hidden="1" x14ac:dyDescent="0.2">
      <c r="B183" s="1039"/>
      <c r="C183" s="1061" t="s">
        <v>923</v>
      </c>
      <c r="D183" s="1080" t="s">
        <v>919</v>
      </c>
      <c r="E183" s="1064"/>
      <c r="F183" s="1093">
        <f>'FC-4_ACTIVO'!F65-'FC-4_ACTIVO'!G65</f>
        <v>0</v>
      </c>
      <c r="G183" s="1171"/>
      <c r="H183" s="1065"/>
      <c r="I183" s="1041"/>
      <c r="K183" s="1182"/>
    </row>
    <row r="184" spans="2:11" s="1042" customFormat="1" ht="18" hidden="1" x14ac:dyDescent="0.2">
      <c r="B184" s="1039"/>
      <c r="C184" s="1061" t="s">
        <v>923</v>
      </c>
      <c r="D184" s="1080" t="s">
        <v>920</v>
      </c>
      <c r="E184" s="1064"/>
      <c r="F184" s="1093">
        <f>'FC-4_ACTIVO'!F89-'FC-4_ACTIVO'!G89</f>
        <v>0</v>
      </c>
      <c r="G184" s="1171"/>
      <c r="H184" s="1065"/>
      <c r="I184" s="1041"/>
      <c r="K184" s="1182"/>
    </row>
    <row r="185" spans="2:11" s="1042" customFormat="1" ht="18" hidden="1" x14ac:dyDescent="0.2">
      <c r="B185" s="1039"/>
      <c r="C185" s="1061" t="s">
        <v>923</v>
      </c>
      <c r="D185" s="1080" t="s">
        <v>921</v>
      </c>
      <c r="E185" s="1064"/>
      <c r="F185" s="1093">
        <f>'FC-4_ACTIVO'!F90-'FC-4_ACTIVO'!G90</f>
        <v>-242378.3</v>
      </c>
      <c r="G185" s="1171"/>
      <c r="H185" s="1065"/>
      <c r="I185" s="1041"/>
      <c r="K185" s="1182"/>
    </row>
    <row r="186" spans="2:11" s="1042" customFormat="1" ht="18" hidden="1" x14ac:dyDescent="0.2">
      <c r="B186" s="1039"/>
      <c r="C186" s="1156" t="s">
        <v>914</v>
      </c>
      <c r="D186" s="1080"/>
      <c r="E186" s="1064"/>
      <c r="F186" s="1154">
        <f>'FC-4_ACTIVO'!F48-'FC-4_ACTIVO'!G48</f>
        <v>0</v>
      </c>
      <c r="G186" s="1171"/>
      <c r="H186" s="1155">
        <f>F186+G186</f>
        <v>0</v>
      </c>
      <c r="I186" s="1041"/>
      <c r="K186" s="1182"/>
    </row>
    <row r="187" spans="2:11" s="1042" customFormat="1" ht="18" hidden="1" x14ac:dyDescent="0.2">
      <c r="B187" s="1039"/>
      <c r="C187" s="1153" t="s">
        <v>915</v>
      </c>
      <c r="D187" s="1080"/>
      <c r="E187" s="1064"/>
      <c r="F187" s="1154">
        <f>SUM(F188:F193)</f>
        <v>196631.45000000004</v>
      </c>
      <c r="G187" s="1154">
        <f>SUM(G189:G191)</f>
        <v>0</v>
      </c>
      <c r="H187" s="1155">
        <f>F187+G187</f>
        <v>196631.45000000004</v>
      </c>
      <c r="I187" s="1041"/>
      <c r="K187" s="1182"/>
    </row>
    <row r="188" spans="2:11" s="1042" customFormat="1" ht="18" hidden="1" x14ac:dyDescent="0.2">
      <c r="B188" s="1039"/>
      <c r="C188" s="1061" t="s">
        <v>924</v>
      </c>
      <c r="D188" s="1080" t="s">
        <v>978</v>
      </c>
      <c r="E188" s="1064"/>
      <c r="F188" s="1093">
        <f>'FC-4_PASIVO'!G44-'FC-4_PASIVO'!F44</f>
        <v>0</v>
      </c>
      <c r="G188" s="1154"/>
      <c r="H188" s="1155"/>
      <c r="I188" s="1041"/>
      <c r="K188" s="1182"/>
    </row>
    <row r="189" spans="2:11" s="1042" customFormat="1" ht="18" hidden="1" x14ac:dyDescent="0.2">
      <c r="B189" s="1039"/>
      <c r="C189" s="1061" t="s">
        <v>924</v>
      </c>
      <c r="D189" s="1080" t="s">
        <v>922</v>
      </c>
      <c r="E189" s="1064"/>
      <c r="F189" s="1093">
        <f>'FC-9_TRANS_SUBV'!K34</f>
        <v>-4737.33</v>
      </c>
      <c r="G189" s="1171"/>
      <c r="H189" s="1065"/>
      <c r="I189" s="1041"/>
      <c r="K189" s="1182"/>
    </row>
    <row r="190" spans="2:11" s="1042" customFormat="1" ht="18" hidden="1" x14ac:dyDescent="0.2">
      <c r="B190" s="1039"/>
      <c r="C190" s="1061" t="s">
        <v>924</v>
      </c>
      <c r="D190" s="1080" t="s">
        <v>925</v>
      </c>
      <c r="E190" s="1064"/>
      <c r="F190" s="1093">
        <f>'FC-4_PASIVO'!G57-'FC-4_PASIVO'!F57</f>
        <v>0</v>
      </c>
      <c r="G190" s="1171"/>
      <c r="H190" s="1065"/>
      <c r="I190" s="1041"/>
      <c r="K190" s="1182"/>
    </row>
    <row r="191" spans="2:11" s="1042" customFormat="1" ht="18" hidden="1" x14ac:dyDescent="0.2">
      <c r="B191" s="1039"/>
      <c r="C191" s="1061" t="s">
        <v>924</v>
      </c>
      <c r="D191" s="1080" t="s">
        <v>926</v>
      </c>
      <c r="E191" s="1064"/>
      <c r="F191" s="1093">
        <f>'FC-4_PASIVO'!G73-'FC-4_PASIVO'!F73</f>
        <v>201368.78000000003</v>
      </c>
      <c r="G191" s="1171"/>
      <c r="H191" s="1065"/>
      <c r="I191" s="1041"/>
      <c r="K191" s="1182"/>
    </row>
    <row r="192" spans="2:11" s="1042" customFormat="1" ht="18" hidden="1" x14ac:dyDescent="0.2">
      <c r="B192" s="1039"/>
      <c r="C192" s="1061" t="s">
        <v>924</v>
      </c>
      <c r="D192" s="1080" t="s">
        <v>979</v>
      </c>
      <c r="E192" s="1064"/>
      <c r="F192" s="1093">
        <f>'FC-4_PASIVO'!G63-'FC-4_PASIVO'!F63</f>
        <v>0</v>
      </c>
      <c r="G192" s="1171"/>
      <c r="H192" s="1065"/>
      <c r="I192" s="1041"/>
      <c r="K192" s="1182"/>
    </row>
    <row r="193" spans="2:11" s="1042" customFormat="1" ht="18" hidden="1" x14ac:dyDescent="0.2">
      <c r="B193" s="1039"/>
      <c r="C193" s="1061" t="s">
        <v>924</v>
      </c>
      <c r="D193" s="1080" t="s">
        <v>982</v>
      </c>
      <c r="E193" s="1064"/>
      <c r="F193" s="1093">
        <f>'FC-4_PASIVO'!G83-'FC-4_PASIVO'!F83</f>
        <v>0</v>
      </c>
      <c r="G193" s="1171"/>
      <c r="H193" s="1065"/>
      <c r="I193" s="1041"/>
      <c r="K193" s="1182"/>
    </row>
    <row r="194" spans="2:11" s="1042" customFormat="1" ht="18" hidden="1" x14ac:dyDescent="0.2">
      <c r="B194" s="1039"/>
      <c r="C194" s="1153" t="s">
        <v>916</v>
      </c>
      <c r="D194" s="1080"/>
      <c r="E194" s="1064"/>
      <c r="F194" s="1154">
        <f>F195</f>
        <v>-14211.980000000001</v>
      </c>
      <c r="G194" s="1154">
        <f>G195</f>
        <v>0</v>
      </c>
      <c r="H194" s="1155">
        <f>F194+G194</f>
        <v>-14211.980000000001</v>
      </c>
      <c r="I194" s="1041"/>
      <c r="K194" s="1182"/>
    </row>
    <row r="195" spans="2:11" s="1042" customFormat="1" ht="18" hidden="1" x14ac:dyDescent="0.2">
      <c r="B195" s="1039"/>
      <c r="C195" s="1061" t="s">
        <v>924</v>
      </c>
      <c r="D195" s="1080" t="s">
        <v>895</v>
      </c>
      <c r="E195" s="1064"/>
      <c r="F195" s="1093">
        <f>'FC-9_TRANS_SUBV'!J34</f>
        <v>-14211.980000000001</v>
      </c>
      <c r="G195" s="1093">
        <v>0</v>
      </c>
      <c r="H195" s="1065"/>
      <c r="I195" s="1041"/>
      <c r="K195" s="1182"/>
    </row>
    <row r="196" spans="2:11" s="1042" customFormat="1" ht="18" hidden="1" x14ac:dyDescent="0.2">
      <c r="B196" s="1039"/>
      <c r="C196" s="1153" t="s">
        <v>956</v>
      </c>
      <c r="D196" s="1080"/>
      <c r="E196" s="1064"/>
      <c r="F196" s="1154">
        <f>SUM(F197:F201)</f>
        <v>0</v>
      </c>
      <c r="G196" s="1154">
        <f>SUM(G197:G201)</f>
        <v>0</v>
      </c>
      <c r="H196" s="1154">
        <f>SUM(F196:G196)</f>
        <v>0</v>
      </c>
      <c r="I196" s="1041"/>
      <c r="K196" s="1182"/>
    </row>
    <row r="197" spans="2:11" s="1042" customFormat="1" ht="18" hidden="1" x14ac:dyDescent="0.2">
      <c r="B197" s="1039"/>
      <c r="C197" s="1177"/>
      <c r="D197" s="1178"/>
      <c r="E197" s="1064"/>
      <c r="F197" s="1171"/>
      <c r="G197" s="1171"/>
      <c r="H197" s="1065"/>
      <c r="I197" s="1041"/>
      <c r="K197" s="1182"/>
    </row>
    <row r="198" spans="2:11" s="1042" customFormat="1" ht="18" hidden="1" x14ac:dyDescent="0.2">
      <c r="B198" s="1039"/>
      <c r="C198" s="1177"/>
      <c r="D198" s="1178"/>
      <c r="E198" s="1064"/>
      <c r="F198" s="1171"/>
      <c r="G198" s="1171"/>
      <c r="H198" s="1065"/>
      <c r="I198" s="1041"/>
      <c r="K198" s="1182"/>
    </row>
    <row r="199" spans="2:11" s="1042" customFormat="1" ht="18" hidden="1" x14ac:dyDescent="0.2">
      <c r="B199" s="1039"/>
      <c r="C199" s="1177"/>
      <c r="D199" s="1178"/>
      <c r="E199" s="1064"/>
      <c r="F199" s="1171"/>
      <c r="G199" s="1171"/>
      <c r="H199" s="1065"/>
      <c r="I199" s="1041"/>
      <c r="K199" s="1182"/>
    </row>
    <row r="200" spans="2:11" s="1042" customFormat="1" ht="18" hidden="1" x14ac:dyDescent="0.2">
      <c r="B200" s="1039"/>
      <c r="C200" s="1179"/>
      <c r="D200" s="1178"/>
      <c r="E200" s="1129"/>
      <c r="F200" s="1173"/>
      <c r="G200" s="1173"/>
      <c r="H200" s="1065"/>
      <c r="I200" s="1041"/>
      <c r="K200" s="1182"/>
    </row>
    <row r="201" spans="2:11" s="1042" customFormat="1" ht="19" hidden="1" thickBot="1" x14ac:dyDescent="0.25">
      <c r="B201" s="1039"/>
      <c r="C201" s="1180"/>
      <c r="D201" s="1181"/>
      <c r="E201" s="1157"/>
      <c r="F201" s="1176"/>
      <c r="G201" s="1176"/>
      <c r="H201" s="1158"/>
      <c r="I201" s="1041"/>
      <c r="K201" s="1182"/>
    </row>
    <row r="202" spans="2:11" s="1042" customFormat="1" ht="16" x14ac:dyDescent="0.2">
      <c r="B202" s="1039"/>
      <c r="C202" s="1108"/>
      <c r="D202" s="1145"/>
      <c r="E202" s="1145"/>
      <c r="F202" s="1145"/>
      <c r="G202" s="1145"/>
      <c r="H202" s="1149"/>
      <c r="I202" s="1041"/>
    </row>
    <row r="203" spans="2:11" ht="17" thickBot="1" x14ac:dyDescent="0.25">
      <c r="B203" s="1159"/>
      <c r="C203" s="1530"/>
      <c r="D203" s="1530"/>
      <c r="E203" s="1160"/>
      <c r="F203" s="1160"/>
      <c r="G203" s="1160"/>
      <c r="H203" s="1161"/>
      <c r="I203" s="1162"/>
      <c r="K203" s="1042"/>
    </row>
    <row r="204" spans="2:11" ht="13" x14ac:dyDescent="0.15">
      <c r="C204" s="625"/>
      <c r="D204" s="625"/>
      <c r="E204" s="1036"/>
      <c r="F204" s="1036"/>
      <c r="G204" s="1036"/>
      <c r="H204" s="625"/>
    </row>
    <row r="205" spans="2:11" ht="13" x14ac:dyDescent="0.15">
      <c r="C205" s="1163" t="s">
        <v>70</v>
      </c>
      <c r="D205" s="625"/>
      <c r="E205" s="1036"/>
      <c r="F205" s="1036"/>
      <c r="G205" s="1036"/>
      <c r="H205" s="1026" t="s">
        <v>955</v>
      </c>
    </row>
    <row r="206" spans="2:11" ht="13" x14ac:dyDescent="0.15">
      <c r="C206" s="1164" t="s">
        <v>71</v>
      </c>
      <c r="D206" s="625"/>
      <c r="E206" s="1036"/>
      <c r="F206" s="1036"/>
      <c r="G206" s="1036"/>
      <c r="H206" s="625"/>
    </row>
    <row r="207" spans="2:11" ht="13" x14ac:dyDescent="0.15">
      <c r="C207" s="1164" t="s">
        <v>72</v>
      </c>
      <c r="D207" s="625"/>
      <c r="E207" s="1036"/>
      <c r="F207" s="1036"/>
      <c r="G207" s="1036"/>
      <c r="H207" s="625"/>
    </row>
    <row r="208" spans="2:11" ht="13" x14ac:dyDescent="0.15">
      <c r="C208" s="1164" t="s">
        <v>73</v>
      </c>
      <c r="D208" s="625"/>
      <c r="E208" s="1036"/>
      <c r="F208" s="1036"/>
      <c r="G208" s="1036"/>
      <c r="H208" s="625"/>
    </row>
    <row r="209" spans="3:8" ht="13" x14ac:dyDescent="0.15">
      <c r="C209" s="1164" t="s">
        <v>74</v>
      </c>
      <c r="D209" s="625"/>
      <c r="E209" s="1036"/>
      <c r="F209" s="1036"/>
      <c r="G209" s="1036"/>
      <c r="H209" s="625"/>
    </row>
    <row r="210" spans="3:8" ht="13" x14ac:dyDescent="0.15">
      <c r="C210" s="625"/>
      <c r="D210" s="625"/>
      <c r="E210" s="1036"/>
      <c r="F210" s="1036"/>
      <c r="G210" s="1036"/>
      <c r="H210" s="625"/>
    </row>
    <row r="211" spans="3:8" ht="13" x14ac:dyDescent="0.15">
      <c r="C211" s="625"/>
      <c r="D211" s="625"/>
      <c r="E211" s="1036"/>
      <c r="F211" s="1036"/>
      <c r="G211" s="1036"/>
      <c r="H211" s="625"/>
    </row>
    <row r="212" spans="3:8" ht="13" x14ac:dyDescent="0.15">
      <c r="C212" s="625"/>
      <c r="D212" s="625"/>
      <c r="E212" s="1036"/>
      <c r="F212" s="1036"/>
      <c r="G212" s="1036"/>
      <c r="H212" s="625"/>
    </row>
    <row r="213" spans="3:8" s="1074" customFormat="1" ht="20" x14ac:dyDescent="0.2">
      <c r="C213" s="1165" t="s">
        <v>929</v>
      </c>
      <c r="D213" s="625"/>
      <c r="E213" s="1036"/>
      <c r="F213" s="1166"/>
      <c r="G213" s="1166"/>
      <c r="H213" s="1035"/>
    </row>
    <row r="214" spans="3:8" ht="13" x14ac:dyDescent="0.15">
      <c r="C214" s="625"/>
      <c r="D214" s="625"/>
      <c r="E214" s="1036"/>
      <c r="H214" s="625"/>
    </row>
    <row r="215" spans="3:8" ht="13" x14ac:dyDescent="0.15">
      <c r="C215" s="625"/>
      <c r="D215" s="625"/>
      <c r="E215" s="1036"/>
    </row>
    <row r="216" spans="3:8" ht="19" thickBot="1" x14ac:dyDescent="0.2">
      <c r="C216" s="1132" t="s">
        <v>896</v>
      </c>
      <c r="D216" s="1133"/>
      <c r="E216" s="1134"/>
    </row>
    <row r="217" spans="3:8" ht="23" customHeight="1" thickTop="1" x14ac:dyDescent="0.15">
      <c r="C217" s="625"/>
      <c r="D217" s="625" t="s">
        <v>930</v>
      </c>
      <c r="E217" s="1036">
        <f>+E168</f>
        <v>-1433160.4300000002</v>
      </c>
    </row>
    <row r="218" spans="3:8" ht="23" customHeight="1" x14ac:dyDescent="0.15">
      <c r="D218" s="617" t="s">
        <v>931</v>
      </c>
      <c r="E218" s="1028">
        <f>+'FC-3_CPyG'!G84</f>
        <v>-1433160.4299999997</v>
      </c>
    </row>
    <row r="219" spans="3:8" ht="23" customHeight="1" x14ac:dyDescent="0.15">
      <c r="E219" s="1167" t="str">
        <f>IF(ROUND(E217-E218,2)=0,"OK","Mal, revísalo")</f>
        <v>OK</v>
      </c>
    </row>
    <row r="221" spans="3:8" ht="23" customHeight="1" x14ac:dyDescent="0.15">
      <c r="D221" s="617" t="s">
        <v>932</v>
      </c>
      <c r="E221" s="1028">
        <f>+H168</f>
        <v>14852.499999999534</v>
      </c>
    </row>
    <row r="222" spans="3:8" ht="23" customHeight="1" x14ac:dyDescent="0.15">
      <c r="D222" s="617" t="s">
        <v>933</v>
      </c>
      <c r="E222" s="1028">
        <f>+H170</f>
        <v>-14852.499999999933</v>
      </c>
    </row>
    <row r="223" spans="3:8" ht="23" customHeight="1" x14ac:dyDescent="0.15">
      <c r="E223" s="1167" t="str">
        <f>IF(ROUND(E221+E222,2)=0,"OK","Revísalo")</f>
        <v>OK</v>
      </c>
    </row>
  </sheetData>
  <sheetProtection sheet="1" scenarios="1" selectLockedCells="1" selectUnlockedCells="1"/>
  <mergeCells count="22">
    <mergeCell ref="F171:F173"/>
    <mergeCell ref="H171:H173"/>
    <mergeCell ref="G171:G173"/>
    <mergeCell ref="C50:D50"/>
    <mergeCell ref="H6:H7"/>
    <mergeCell ref="D9:H9"/>
    <mergeCell ref="C12:D12"/>
    <mergeCell ref="C14:D14"/>
    <mergeCell ref="C39:D39"/>
    <mergeCell ref="C203:D203"/>
    <mergeCell ref="C166:D166"/>
    <mergeCell ref="C68:D68"/>
    <mergeCell ref="C70:D70"/>
    <mergeCell ref="C72:D72"/>
    <mergeCell ref="C83:D83"/>
    <mergeCell ref="C86:D86"/>
    <mergeCell ref="C116:D116"/>
    <mergeCell ref="C127:D127"/>
    <mergeCell ref="C145:D145"/>
    <mergeCell ref="C147:D147"/>
    <mergeCell ref="C152:D152"/>
    <mergeCell ref="C170:D170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55"/>
  <sheetViews>
    <sheetView topLeftCell="A2" zoomScale="130" zoomScaleNormal="130" workbookViewId="0">
      <selection activeCell="H16" sqref="H16"/>
    </sheetView>
  </sheetViews>
  <sheetFormatPr baseColWidth="10" defaultColWidth="10.7109375" defaultRowHeight="23" customHeight="1" x14ac:dyDescent="0.2"/>
  <cols>
    <col min="1" max="1" width="4.7109375" style="2" bestFit="1" customWidth="1"/>
    <col min="2" max="2" width="3.28515625" style="2" customWidth="1"/>
    <col min="3" max="3" width="12.28515625" style="2" customWidth="1"/>
    <col min="4" max="4" width="7.5703125" style="2" customWidth="1"/>
    <col min="5" max="5" width="15.28515625" style="2" customWidth="1"/>
    <col min="6" max="7" width="18.28515625" style="2" customWidth="1"/>
    <col min="8" max="8" width="13" style="2" customWidth="1"/>
    <col min="9" max="9" width="3.5703125" style="2" customWidth="1"/>
    <col min="10" max="16384" width="10.7109375" style="2"/>
  </cols>
  <sheetData>
    <row r="1" spans="1:24" ht="23" customHeight="1" x14ac:dyDescent="0.2">
      <c r="E1" s="3"/>
    </row>
    <row r="2" spans="1:24" ht="23" customHeight="1" x14ac:dyDescent="0.2">
      <c r="D2" s="311" t="str">
        <f>_GENERAL!D2</f>
        <v>Área de Presidencia, Hacienda y Modernización</v>
      </c>
    </row>
    <row r="3" spans="1:24" ht="23" customHeight="1" x14ac:dyDescent="0.2">
      <c r="D3" s="311" t="str">
        <f>_GENERAL!D3</f>
        <v>Dirección Insular de Hacienda</v>
      </c>
    </row>
    <row r="4" spans="1:24" ht="23" customHeight="1" thickBot="1" x14ac:dyDescent="0.25">
      <c r="A4" s="959" t="s">
        <v>935</v>
      </c>
    </row>
    <row r="5" spans="1:24" ht="9" customHeight="1" x14ac:dyDescent="0.2">
      <c r="B5" s="5"/>
      <c r="C5" s="6"/>
      <c r="D5" s="6"/>
      <c r="E5" s="6"/>
      <c r="F5" s="6"/>
      <c r="G5" s="6"/>
      <c r="H5" s="6"/>
      <c r="I5" s="7"/>
      <c r="K5" s="406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8"/>
    </row>
    <row r="6" spans="1:24" ht="30" customHeight="1" x14ac:dyDescent="0.25">
      <c r="B6" s="8"/>
      <c r="C6" s="1" t="s">
        <v>0</v>
      </c>
      <c r="D6" s="22"/>
      <c r="E6" s="22"/>
      <c r="F6" s="22"/>
      <c r="G6" s="3"/>
      <c r="H6" s="1362">
        <f>ejercicio</f>
        <v>2020</v>
      </c>
      <c r="I6" s="9"/>
      <c r="K6" s="409"/>
      <c r="L6" s="410" t="s">
        <v>677</v>
      </c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2"/>
    </row>
    <row r="7" spans="1:24" ht="30" customHeight="1" x14ac:dyDescent="0.2">
      <c r="B7" s="8"/>
      <c r="C7" s="1" t="s">
        <v>1</v>
      </c>
      <c r="D7" s="3"/>
      <c r="E7" s="3"/>
      <c r="F7" s="3"/>
      <c r="G7" s="3"/>
      <c r="H7" s="1362">
        <v>2018</v>
      </c>
      <c r="I7" s="9"/>
      <c r="K7" s="409"/>
      <c r="L7" s="411" t="s">
        <v>1094</v>
      </c>
      <c r="M7" s="411"/>
      <c r="N7" s="411"/>
      <c r="O7" s="411"/>
      <c r="P7" s="411"/>
      <c r="Q7" s="411"/>
      <c r="R7" s="411"/>
      <c r="S7" s="411"/>
      <c r="T7" s="411"/>
      <c r="U7" s="411"/>
      <c r="V7" s="411"/>
      <c r="W7" s="411"/>
      <c r="X7" s="412"/>
    </row>
    <row r="8" spans="1:24" ht="30" customHeight="1" x14ac:dyDescent="0.2">
      <c r="B8" s="8"/>
      <c r="C8" s="3"/>
      <c r="D8" s="3"/>
      <c r="E8" s="3"/>
      <c r="F8" s="3"/>
      <c r="G8" s="3"/>
      <c r="H8" s="16"/>
      <c r="I8" s="9"/>
      <c r="K8" s="409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2"/>
    </row>
    <row r="9" spans="1:24" ht="30" customHeight="1" x14ac:dyDescent="0.2">
      <c r="B9" s="8"/>
      <c r="C9" s="38" t="s">
        <v>2</v>
      </c>
      <c r="D9" s="1367" t="str">
        <f>Entidad</f>
        <v>TEA Tenerife Espacio de las Artes, Entidad Pública Empresarial Local</v>
      </c>
      <c r="E9" s="1367"/>
      <c r="F9" s="1367"/>
      <c r="G9" s="1367"/>
      <c r="H9" s="1367"/>
      <c r="I9" s="9"/>
      <c r="K9" s="413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4"/>
      <c r="X9" s="415"/>
    </row>
    <row r="10" spans="1:24" ht="7.25" customHeight="1" x14ac:dyDescent="0.2">
      <c r="B10" s="8"/>
      <c r="C10" s="3"/>
      <c r="D10" s="3"/>
      <c r="E10" s="3"/>
      <c r="F10" s="3"/>
      <c r="G10" s="3"/>
      <c r="H10" s="10"/>
      <c r="I10" s="9"/>
      <c r="K10" s="409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2"/>
    </row>
    <row r="11" spans="1:24" s="12" customFormat="1" ht="30" customHeight="1" x14ac:dyDescent="0.2">
      <c r="B11" s="23"/>
      <c r="C11" s="11" t="s">
        <v>69</v>
      </c>
      <c r="D11" s="11"/>
      <c r="E11" s="11"/>
      <c r="F11" s="11"/>
      <c r="G11" s="11"/>
      <c r="H11" s="11"/>
      <c r="I11" s="24"/>
      <c r="K11" s="416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7"/>
      <c r="X11" s="418"/>
    </row>
    <row r="12" spans="1:24" ht="23" customHeight="1" x14ac:dyDescent="0.2">
      <c r="B12" s="8"/>
      <c r="C12" s="3"/>
      <c r="D12" s="3"/>
      <c r="E12" s="3"/>
      <c r="F12" s="3"/>
      <c r="G12" s="3"/>
      <c r="H12" s="3"/>
      <c r="I12" s="9"/>
      <c r="K12" s="416"/>
      <c r="L12" s="417"/>
      <c r="M12" s="417"/>
      <c r="N12" s="417"/>
      <c r="O12" s="417"/>
      <c r="P12" s="417"/>
      <c r="Q12" s="417"/>
      <c r="R12" s="417"/>
      <c r="S12" s="417"/>
      <c r="T12" s="417"/>
      <c r="U12" s="417"/>
      <c r="V12" s="417"/>
      <c r="W12" s="417"/>
      <c r="X12" s="418"/>
    </row>
    <row r="13" spans="1:24" ht="23" customHeight="1" x14ac:dyDescent="0.2">
      <c r="B13" s="8"/>
      <c r="C13" s="13" t="s">
        <v>657</v>
      </c>
      <c r="D13" s="13"/>
      <c r="E13" s="13"/>
      <c r="F13" s="13"/>
      <c r="G13" s="13"/>
      <c r="H13" s="542">
        <f>+H15+H19</f>
        <v>9</v>
      </c>
      <c r="I13" s="9"/>
      <c r="K13" s="409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2"/>
    </row>
    <row r="14" spans="1:24" ht="23" customHeight="1" x14ac:dyDescent="0.2">
      <c r="B14" s="8"/>
      <c r="C14" s="3"/>
      <c r="D14" s="3"/>
      <c r="E14" s="3"/>
      <c r="F14" s="3"/>
      <c r="G14" s="3"/>
      <c r="H14" s="3"/>
      <c r="I14" s="9"/>
      <c r="K14" s="409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2"/>
    </row>
    <row r="15" spans="1:24" ht="23" customHeight="1" x14ac:dyDescent="0.2">
      <c r="B15" s="8"/>
      <c r="C15" s="3"/>
      <c r="D15" s="543" t="s">
        <v>658</v>
      </c>
      <c r="E15" s="543"/>
      <c r="F15" s="543"/>
      <c r="G15" s="543"/>
      <c r="H15" s="544">
        <f>H16+H17</f>
        <v>9</v>
      </c>
      <c r="I15" s="9"/>
      <c r="K15" s="409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2"/>
    </row>
    <row r="16" spans="1:24" ht="23" customHeight="1" x14ac:dyDescent="0.2">
      <c r="B16" s="8"/>
      <c r="C16" s="3"/>
      <c r="D16" s="3"/>
      <c r="E16" s="25" t="s">
        <v>3</v>
      </c>
      <c r="F16" s="25"/>
      <c r="G16" s="25"/>
      <c r="H16" s="438">
        <v>9</v>
      </c>
      <c r="I16" s="9"/>
      <c r="K16" s="409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2"/>
    </row>
    <row r="17" spans="2:24" ht="23" customHeight="1" x14ac:dyDescent="0.2">
      <c r="B17" s="8"/>
      <c r="C17" s="3"/>
      <c r="D17" s="3"/>
      <c r="E17" s="25" t="s">
        <v>4</v>
      </c>
      <c r="F17" s="25"/>
      <c r="G17" s="25"/>
      <c r="H17" s="438"/>
      <c r="I17" s="9"/>
      <c r="K17" s="409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2"/>
    </row>
    <row r="18" spans="2:24" ht="23" customHeight="1" x14ac:dyDescent="0.2">
      <c r="B18" s="8"/>
      <c r="C18" s="3"/>
      <c r="D18" s="3"/>
      <c r="E18" s="3"/>
      <c r="F18" s="3"/>
      <c r="G18" s="3"/>
      <c r="H18" s="3"/>
      <c r="I18" s="9"/>
      <c r="K18" s="409"/>
      <c r="L18" s="411"/>
      <c r="M18" s="411"/>
      <c r="N18" s="411"/>
      <c r="O18" s="411"/>
      <c r="P18" s="411"/>
      <c r="Q18" s="411"/>
      <c r="R18" s="411"/>
      <c r="S18" s="411"/>
      <c r="T18" s="411"/>
      <c r="U18" s="411"/>
      <c r="V18" s="411"/>
      <c r="W18" s="411"/>
      <c r="X18" s="412"/>
    </row>
    <row r="19" spans="2:24" ht="23" customHeight="1" x14ac:dyDescent="0.2">
      <c r="B19" s="8"/>
      <c r="C19" s="3"/>
      <c r="D19" s="543" t="s">
        <v>659</v>
      </c>
      <c r="E19" s="543"/>
      <c r="F19" s="543"/>
      <c r="G19" s="543"/>
      <c r="H19" s="545"/>
      <c r="I19" s="9"/>
      <c r="K19" s="409"/>
      <c r="L19" s="411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1"/>
      <c r="X19" s="412"/>
    </row>
    <row r="20" spans="2:24" ht="23" customHeight="1" x14ac:dyDescent="0.2">
      <c r="B20" s="8"/>
      <c r="C20" s="3"/>
      <c r="D20" s="3"/>
      <c r="E20" s="3"/>
      <c r="F20" s="3"/>
      <c r="G20" s="3"/>
      <c r="H20" s="3"/>
      <c r="I20" s="9"/>
      <c r="K20" s="409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2"/>
    </row>
    <row r="21" spans="2:24" ht="23" customHeight="1" x14ac:dyDescent="0.2">
      <c r="B21" s="8"/>
      <c r="C21" s="3"/>
      <c r="D21" s="3"/>
      <c r="E21" s="3"/>
      <c r="F21" s="3"/>
      <c r="G21" s="3"/>
      <c r="H21" s="3"/>
      <c r="I21" s="9"/>
      <c r="K21" s="409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2"/>
    </row>
    <row r="22" spans="2:24" ht="31.25" customHeight="1" x14ac:dyDescent="0.2">
      <c r="B22" s="8"/>
      <c r="C22" s="26" t="s">
        <v>6</v>
      </c>
      <c r="D22" s="26" t="s">
        <v>5</v>
      </c>
      <c r="E22" s="26"/>
      <c r="F22" s="26"/>
      <c r="G22" s="26"/>
      <c r="H22" s="27" t="s">
        <v>7</v>
      </c>
      <c r="I22" s="9"/>
      <c r="K22" s="409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1"/>
      <c r="X22" s="412"/>
    </row>
    <row r="23" spans="2:24" ht="23" customHeight="1" x14ac:dyDescent="0.2">
      <c r="B23" s="8"/>
      <c r="C23" s="28" t="s">
        <v>660</v>
      </c>
      <c r="D23" s="546" t="s">
        <v>1091</v>
      </c>
      <c r="E23" s="546"/>
      <c r="F23" s="546"/>
      <c r="G23" s="546"/>
      <c r="H23" s="439">
        <v>43670</v>
      </c>
      <c r="I23" s="9"/>
      <c r="K23" s="409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2"/>
    </row>
    <row r="24" spans="2:24" ht="23" customHeight="1" x14ac:dyDescent="0.2">
      <c r="B24" s="8"/>
      <c r="C24" s="29" t="s">
        <v>661</v>
      </c>
      <c r="D24" s="547" t="s">
        <v>1090</v>
      </c>
      <c r="E24" s="547"/>
      <c r="F24" s="547"/>
      <c r="G24" s="547"/>
      <c r="H24" s="440">
        <v>43788</v>
      </c>
      <c r="I24" s="9"/>
      <c r="K24" s="409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1"/>
      <c r="X24" s="412"/>
    </row>
    <row r="25" spans="2:24" ht="23" customHeight="1" x14ac:dyDescent="0.2">
      <c r="B25" s="8"/>
      <c r="C25" s="29" t="s">
        <v>662</v>
      </c>
      <c r="D25" s="547" t="s">
        <v>1110</v>
      </c>
      <c r="E25" s="547"/>
      <c r="F25" s="547"/>
      <c r="G25" s="547"/>
      <c r="H25" s="440"/>
      <c r="I25" s="9"/>
      <c r="K25" s="409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2"/>
    </row>
    <row r="26" spans="2:24" ht="23" customHeight="1" x14ac:dyDescent="0.2">
      <c r="B26" s="8"/>
      <c r="C26" s="29" t="s">
        <v>663</v>
      </c>
      <c r="D26" s="547"/>
      <c r="E26" s="547"/>
      <c r="F26" s="547"/>
      <c r="G26" s="547"/>
      <c r="H26" s="440"/>
      <c r="I26" s="9"/>
      <c r="K26" s="409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2"/>
    </row>
    <row r="27" spans="2:24" ht="23" customHeight="1" x14ac:dyDescent="0.2">
      <c r="B27" s="8"/>
      <c r="C27" s="29" t="s">
        <v>8</v>
      </c>
      <c r="D27" s="547" t="s">
        <v>1103</v>
      </c>
      <c r="E27" s="547"/>
      <c r="F27" s="547"/>
      <c r="G27" s="547"/>
      <c r="H27" s="440">
        <v>43794</v>
      </c>
      <c r="I27" s="9"/>
      <c r="K27" s="409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2"/>
    </row>
    <row r="28" spans="2:24" ht="23" customHeight="1" x14ac:dyDescent="0.2">
      <c r="B28" s="8"/>
      <c r="C28" s="29" t="s">
        <v>9</v>
      </c>
      <c r="D28" s="547" t="s">
        <v>1104</v>
      </c>
      <c r="E28" s="547"/>
      <c r="F28" s="547"/>
      <c r="G28" s="547"/>
      <c r="H28" s="440">
        <v>43794</v>
      </c>
      <c r="I28" s="9"/>
      <c r="K28" s="409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1"/>
      <c r="X28" s="412"/>
    </row>
    <row r="29" spans="2:24" ht="23" customHeight="1" x14ac:dyDescent="0.2">
      <c r="B29" s="8"/>
      <c r="C29" s="29" t="s">
        <v>10</v>
      </c>
      <c r="D29" s="547" t="s">
        <v>1105</v>
      </c>
      <c r="E29" s="547"/>
      <c r="F29" s="547"/>
      <c r="G29" s="547"/>
      <c r="H29" s="440">
        <v>43794</v>
      </c>
      <c r="I29" s="9"/>
      <c r="K29" s="409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1"/>
      <c r="X29" s="412"/>
    </row>
    <row r="30" spans="2:24" ht="23" customHeight="1" x14ac:dyDescent="0.2">
      <c r="B30" s="8"/>
      <c r="C30" s="29" t="s">
        <v>11</v>
      </c>
      <c r="D30" s="547" t="s">
        <v>1106</v>
      </c>
      <c r="E30" s="547"/>
      <c r="F30" s="547"/>
      <c r="G30" s="547"/>
      <c r="H30" s="440">
        <v>43794</v>
      </c>
      <c r="I30" s="9"/>
      <c r="K30" s="419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1"/>
    </row>
    <row r="31" spans="2:24" ht="23" customHeight="1" x14ac:dyDescent="0.2">
      <c r="B31" s="8"/>
      <c r="C31" s="29" t="s">
        <v>12</v>
      </c>
      <c r="D31" s="547" t="s">
        <v>1107</v>
      </c>
      <c r="E31" s="547"/>
      <c r="F31" s="547"/>
      <c r="G31" s="547"/>
      <c r="H31" s="440">
        <v>43794</v>
      </c>
      <c r="I31" s="9"/>
      <c r="K31" s="419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1"/>
    </row>
    <row r="32" spans="2:24" ht="23" customHeight="1" x14ac:dyDescent="0.2">
      <c r="B32" s="8"/>
      <c r="C32" s="29" t="s">
        <v>13</v>
      </c>
      <c r="D32" s="547" t="s">
        <v>1108</v>
      </c>
      <c r="E32" s="547"/>
      <c r="F32" s="547"/>
      <c r="G32" s="547"/>
      <c r="H32" s="440">
        <v>43794</v>
      </c>
      <c r="I32" s="9"/>
      <c r="K32" s="409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1"/>
      <c r="X32" s="412"/>
    </row>
    <row r="33" spans="2:25" ht="23" customHeight="1" x14ac:dyDescent="0.2">
      <c r="B33" s="8"/>
      <c r="C33" s="29" t="s">
        <v>14</v>
      </c>
      <c r="D33" s="547" t="s">
        <v>1109</v>
      </c>
      <c r="E33" s="547"/>
      <c r="F33" s="547"/>
      <c r="G33" s="547"/>
      <c r="H33" s="440">
        <v>43794</v>
      </c>
      <c r="I33" s="9"/>
      <c r="K33" s="409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2"/>
    </row>
    <row r="34" spans="2:25" ht="23" customHeight="1" x14ac:dyDescent="0.2">
      <c r="B34" s="8"/>
      <c r="C34" s="29" t="s">
        <v>15</v>
      </c>
      <c r="D34" s="547"/>
      <c r="E34" s="547"/>
      <c r="F34" s="547"/>
      <c r="G34" s="547"/>
      <c r="H34" s="440"/>
      <c r="I34" s="9"/>
      <c r="K34" s="409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2"/>
    </row>
    <row r="35" spans="2:25" ht="23" customHeight="1" x14ac:dyDescent="0.2">
      <c r="B35" s="8"/>
      <c r="C35" s="29" t="s">
        <v>16</v>
      </c>
      <c r="D35" s="547"/>
      <c r="E35" s="547"/>
      <c r="F35" s="547"/>
      <c r="G35" s="547"/>
      <c r="H35" s="440"/>
      <c r="I35" s="9"/>
      <c r="K35" s="409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1"/>
      <c r="X35" s="412"/>
    </row>
    <row r="36" spans="2:25" ht="23" customHeight="1" x14ac:dyDescent="0.2">
      <c r="B36" s="8"/>
      <c r="C36" s="29" t="s">
        <v>17</v>
      </c>
      <c r="D36" s="547"/>
      <c r="E36" s="547"/>
      <c r="F36" s="547"/>
      <c r="G36" s="547"/>
      <c r="H36" s="440"/>
      <c r="I36" s="9"/>
      <c r="K36" s="422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4"/>
    </row>
    <row r="37" spans="2:25" ht="23" customHeight="1" x14ac:dyDescent="0.2">
      <c r="B37" s="8"/>
      <c r="C37" s="29" t="s">
        <v>18</v>
      </c>
      <c r="D37" s="547"/>
      <c r="E37" s="547"/>
      <c r="F37" s="547"/>
      <c r="G37" s="547"/>
      <c r="H37" s="440"/>
      <c r="I37" s="9"/>
      <c r="K37" s="422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4"/>
    </row>
    <row r="38" spans="2:25" ht="23" customHeight="1" x14ac:dyDescent="0.2">
      <c r="B38" s="8"/>
      <c r="C38" s="29" t="s">
        <v>19</v>
      </c>
      <c r="D38" s="547"/>
      <c r="E38" s="547"/>
      <c r="F38" s="547"/>
      <c r="G38" s="547"/>
      <c r="H38" s="440"/>
      <c r="I38" s="9"/>
      <c r="K38" s="422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4"/>
    </row>
    <row r="39" spans="2:25" ht="23" customHeight="1" x14ac:dyDescent="0.2">
      <c r="B39" s="8"/>
      <c r="C39" s="30"/>
      <c r="D39" s="31"/>
      <c r="E39" s="31"/>
      <c r="F39" s="31"/>
      <c r="G39" s="31"/>
      <c r="H39" s="32"/>
      <c r="I39" s="9"/>
      <c r="K39" s="422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4"/>
    </row>
    <row r="40" spans="2:25" ht="23" customHeight="1" x14ac:dyDescent="0.2">
      <c r="B40" s="8"/>
      <c r="C40" s="33" t="s">
        <v>664</v>
      </c>
      <c r="D40" s="548" t="s">
        <v>1092</v>
      </c>
      <c r="E40" s="548"/>
      <c r="F40" s="548"/>
      <c r="G40" s="548"/>
      <c r="H40" s="441">
        <v>42562</v>
      </c>
      <c r="I40" s="9"/>
      <c r="K40" s="409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2"/>
    </row>
    <row r="41" spans="2:25" ht="23" customHeight="1" x14ac:dyDescent="0.2">
      <c r="B41" s="8"/>
      <c r="C41" s="33" t="s">
        <v>35</v>
      </c>
      <c r="D41" s="547" t="s">
        <v>1111</v>
      </c>
      <c r="E41" s="547"/>
      <c r="F41" s="547"/>
      <c r="G41" s="547"/>
      <c r="H41" s="441"/>
      <c r="I41" s="9"/>
      <c r="K41" s="409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2"/>
    </row>
    <row r="42" spans="2:25" ht="23" customHeight="1" thickBot="1" x14ac:dyDescent="0.25">
      <c r="B42" s="18"/>
      <c r="C42" s="19"/>
      <c r="D42" s="19"/>
      <c r="E42" s="19"/>
      <c r="F42" s="19"/>
      <c r="G42" s="34"/>
      <c r="H42" s="19"/>
      <c r="I42" s="20"/>
      <c r="K42" s="425"/>
      <c r="L42" s="426"/>
      <c r="M42" s="426"/>
      <c r="N42" s="426"/>
      <c r="O42" s="426"/>
      <c r="P42" s="426"/>
      <c r="Q42" s="426"/>
      <c r="R42" s="426"/>
      <c r="S42" s="426"/>
      <c r="T42" s="426"/>
      <c r="U42" s="426"/>
      <c r="V42" s="426"/>
      <c r="W42" s="426"/>
      <c r="X42" s="427"/>
    </row>
    <row r="43" spans="2:25" ht="23" customHeight="1" x14ac:dyDescent="0.2">
      <c r="G43" s="35"/>
      <c r="J43" s="959" t="s">
        <v>936</v>
      </c>
    </row>
    <row r="44" spans="2:25" s="41" customFormat="1" ht="16" x14ac:dyDescent="0.2">
      <c r="C44" s="36" t="s">
        <v>70</v>
      </c>
      <c r="G44" s="42"/>
      <c r="H44" s="40" t="s">
        <v>36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s="41" customFormat="1" ht="16" x14ac:dyDescent="0.2">
      <c r="C45" s="37" t="s">
        <v>71</v>
      </c>
      <c r="G45" s="4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s="41" customFormat="1" ht="16" x14ac:dyDescent="0.2">
      <c r="C46" s="37" t="s">
        <v>72</v>
      </c>
      <c r="G46" s="4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s="41" customFormat="1" ht="16" x14ac:dyDescent="0.2">
      <c r="C47" s="37" t="s">
        <v>73</v>
      </c>
      <c r="G47" s="4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s="41" customFormat="1" ht="16" x14ac:dyDescent="0.2">
      <c r="C48" s="37" t="s">
        <v>74</v>
      </c>
      <c r="G48" s="4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7:7" ht="23" customHeight="1" x14ac:dyDescent="0.2">
      <c r="G49" s="35"/>
    </row>
    <row r="50" spans="7:7" ht="23" customHeight="1" x14ac:dyDescent="0.2">
      <c r="G50" s="35"/>
    </row>
    <row r="51" spans="7:7" ht="23" customHeight="1" x14ac:dyDescent="0.2">
      <c r="G51" s="35"/>
    </row>
    <row r="52" spans="7:7" ht="23" customHeight="1" x14ac:dyDescent="0.2">
      <c r="G52" s="35"/>
    </row>
    <row r="53" spans="7:7" ht="23" customHeight="1" x14ac:dyDescent="0.2">
      <c r="G53" s="35"/>
    </row>
    <row r="54" spans="7:7" ht="23" customHeight="1" x14ac:dyDescent="0.2">
      <c r="G54" s="35"/>
    </row>
    <row r="55" spans="7:7" ht="23" customHeight="1" x14ac:dyDescent="0.2">
      <c r="G55" s="35"/>
    </row>
  </sheetData>
  <sheetProtection sheet="1" objects="1" scenarios="1"/>
  <mergeCells count="2">
    <mergeCell ref="H6:H7"/>
    <mergeCell ref="D9:H9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7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66"/>
  <sheetViews>
    <sheetView topLeftCell="A7" workbookViewId="0">
      <selection activeCell="F22" sqref="F22"/>
    </sheetView>
  </sheetViews>
  <sheetFormatPr baseColWidth="10" defaultColWidth="10.7109375" defaultRowHeight="23" customHeight="1" x14ac:dyDescent="0.15"/>
  <cols>
    <col min="1" max="1" width="4.28515625" style="722" bestFit="1" customWidth="1"/>
    <col min="2" max="2" width="3.28515625" style="722" customWidth="1"/>
    <col min="3" max="3" width="13.5703125" style="722" customWidth="1"/>
    <col min="4" max="4" width="16.28515625" style="722" customWidth="1"/>
    <col min="5" max="5" width="14" style="722" customWidth="1"/>
    <col min="6" max="7" width="16.28515625" style="722" customWidth="1"/>
    <col min="8" max="8" width="10.28515625" style="722" customWidth="1"/>
    <col min="9" max="9" width="13" style="722" customWidth="1"/>
    <col min="10" max="10" width="10.7109375" style="722"/>
    <col min="11" max="11" width="2" style="722" customWidth="1"/>
    <col min="12" max="12" width="12.7109375" style="722" customWidth="1"/>
    <col min="13" max="15" width="10.7109375" style="722"/>
    <col min="16" max="16" width="30.42578125" style="722" customWidth="1"/>
    <col min="17" max="17" width="3.28515625" style="722" customWidth="1"/>
    <col min="18" max="16384" width="10.7109375" style="722"/>
  </cols>
  <sheetData>
    <row r="1" spans="1:32" ht="23" customHeight="1" x14ac:dyDescent="0.15">
      <c r="D1" s="723"/>
    </row>
    <row r="2" spans="1:32" ht="23" customHeight="1" x14ac:dyDescent="0.15">
      <c r="D2" s="311" t="str">
        <f>_GENERAL!D2</f>
        <v>Área de Presidencia, Hacienda y Modernización</v>
      </c>
    </row>
    <row r="3" spans="1:32" ht="23" customHeight="1" x14ac:dyDescent="0.15">
      <c r="D3" s="311" t="str">
        <f>_GENERAL!D3</f>
        <v>Dirección Insular de Hacienda</v>
      </c>
    </row>
    <row r="4" spans="1:32" ht="23" customHeight="1" thickBot="1" x14ac:dyDescent="0.2">
      <c r="A4" s="722" t="s">
        <v>935</v>
      </c>
    </row>
    <row r="5" spans="1:32" ht="9" customHeight="1" x14ac:dyDescent="0.15">
      <c r="B5" s="724"/>
      <c r="C5" s="725"/>
      <c r="D5" s="725"/>
      <c r="E5" s="725"/>
      <c r="F5" s="725"/>
      <c r="G5" s="725"/>
      <c r="H5" s="725"/>
      <c r="I5" s="725"/>
      <c r="J5" s="725"/>
      <c r="K5" s="725"/>
      <c r="L5" s="725"/>
      <c r="M5" s="725"/>
      <c r="N5" s="725"/>
      <c r="O5" s="725"/>
      <c r="P5" s="725"/>
      <c r="Q5" s="726"/>
      <c r="S5" s="406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8"/>
    </row>
    <row r="6" spans="1:32" ht="30" customHeight="1" x14ac:dyDescent="0.2">
      <c r="B6" s="727"/>
      <c r="C6" s="728" t="s">
        <v>0</v>
      </c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723"/>
      <c r="P6" s="1368">
        <f>ejercicio</f>
        <v>2020</v>
      </c>
      <c r="Q6" s="729"/>
      <c r="S6" s="409"/>
      <c r="T6" s="410" t="s">
        <v>677</v>
      </c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2"/>
    </row>
    <row r="7" spans="1:32" ht="30" customHeight="1" x14ac:dyDescent="0.2">
      <c r="B7" s="727"/>
      <c r="C7" s="728" t="s">
        <v>1</v>
      </c>
      <c r="D7" s="723"/>
      <c r="E7" s="723"/>
      <c r="F7" s="723"/>
      <c r="G7" s="723"/>
      <c r="H7" s="723"/>
      <c r="I7" s="723"/>
      <c r="J7" s="723"/>
      <c r="K7" s="723"/>
      <c r="L7" s="723"/>
      <c r="M7" s="730"/>
      <c r="N7" s="723"/>
      <c r="P7" s="1368"/>
      <c r="Q7" s="729"/>
      <c r="S7" s="409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411"/>
      <c r="AF7" s="412"/>
    </row>
    <row r="8" spans="1:32" ht="30" customHeight="1" x14ac:dyDescent="0.15">
      <c r="B8" s="727"/>
      <c r="C8" s="731"/>
      <c r="D8" s="723"/>
      <c r="E8" s="723"/>
      <c r="F8" s="723"/>
      <c r="G8" s="723"/>
      <c r="H8" s="723"/>
      <c r="I8" s="723"/>
      <c r="J8" s="723"/>
      <c r="K8" s="723"/>
      <c r="L8" s="723"/>
      <c r="M8" s="730"/>
      <c r="N8" s="723"/>
      <c r="O8" s="732"/>
      <c r="P8" s="732"/>
      <c r="Q8" s="729"/>
      <c r="S8" s="409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411"/>
      <c r="AF8" s="412"/>
    </row>
    <row r="9" spans="1:32" s="736" customFormat="1" ht="30" customHeight="1" x14ac:dyDescent="0.2">
      <c r="B9" s="733"/>
      <c r="C9" s="734" t="s">
        <v>2</v>
      </c>
      <c r="D9" s="1370" t="str">
        <f>Entidad</f>
        <v>TEA Tenerife Espacio de las Artes, Entidad Pública Empresarial Local</v>
      </c>
      <c r="E9" s="1370"/>
      <c r="F9" s="1370"/>
      <c r="G9" s="1370"/>
      <c r="H9" s="1370"/>
      <c r="I9" s="1370"/>
      <c r="J9" s="1370"/>
      <c r="K9" s="1370"/>
      <c r="L9" s="1370"/>
      <c r="M9" s="1370"/>
      <c r="N9" s="1370"/>
      <c r="O9" s="1370"/>
      <c r="P9" s="713"/>
      <c r="Q9" s="735"/>
      <c r="S9" s="413"/>
      <c r="T9" s="414"/>
      <c r="U9" s="414"/>
      <c r="V9" s="414"/>
      <c r="W9" s="414"/>
      <c r="X9" s="414"/>
      <c r="Y9" s="414"/>
      <c r="Z9" s="414"/>
      <c r="AA9" s="414"/>
      <c r="AB9" s="414"/>
      <c r="AC9" s="414"/>
      <c r="AD9" s="414"/>
      <c r="AE9" s="414"/>
      <c r="AF9" s="415"/>
    </row>
    <row r="10" spans="1:32" ht="7.25" customHeight="1" x14ac:dyDescent="0.15">
      <c r="B10" s="727"/>
      <c r="C10" s="723"/>
      <c r="D10" s="723"/>
      <c r="E10" s="723"/>
      <c r="F10" s="723"/>
      <c r="G10" s="723"/>
      <c r="H10" s="723"/>
      <c r="I10" s="730"/>
      <c r="J10" s="723"/>
      <c r="K10" s="723"/>
      <c r="L10" s="723"/>
      <c r="M10" s="723"/>
      <c r="N10" s="723"/>
      <c r="O10" s="723"/>
      <c r="P10" s="723"/>
      <c r="Q10" s="729"/>
      <c r="S10" s="409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2"/>
    </row>
    <row r="11" spans="1:32" s="740" customFormat="1" ht="30" customHeight="1" x14ac:dyDescent="0.2">
      <c r="B11" s="737"/>
      <c r="C11" s="738" t="s">
        <v>76</v>
      </c>
      <c r="D11" s="738"/>
      <c r="E11" s="738"/>
      <c r="F11" s="738"/>
      <c r="G11" s="738"/>
      <c r="H11" s="738"/>
      <c r="I11" s="738"/>
      <c r="J11" s="738"/>
      <c r="K11" s="738"/>
      <c r="L11" s="738"/>
      <c r="M11" s="738"/>
      <c r="N11" s="738"/>
      <c r="O11" s="738"/>
      <c r="P11" s="738"/>
      <c r="Q11" s="739"/>
      <c r="S11" s="416"/>
      <c r="T11" s="417"/>
      <c r="U11" s="417"/>
      <c r="V11" s="417"/>
      <c r="W11" s="417"/>
      <c r="X11" s="417"/>
      <c r="Y11" s="417"/>
      <c r="Z11" s="417"/>
      <c r="AA11" s="417"/>
      <c r="AB11" s="417"/>
      <c r="AC11" s="417"/>
      <c r="AD11" s="417"/>
      <c r="AE11" s="417"/>
      <c r="AF11" s="418"/>
    </row>
    <row r="12" spans="1:32" ht="23" customHeight="1" x14ac:dyDescent="0.15">
      <c r="B12" s="727"/>
      <c r="C12" s="723"/>
      <c r="D12" s="723"/>
      <c r="E12" s="723"/>
      <c r="F12" s="723"/>
      <c r="G12" s="723"/>
      <c r="H12" s="723"/>
      <c r="I12" s="723"/>
      <c r="J12" s="723"/>
      <c r="K12" s="723"/>
      <c r="L12" s="723"/>
      <c r="M12" s="723"/>
      <c r="N12" s="723"/>
      <c r="O12" s="723"/>
      <c r="P12" s="723"/>
      <c r="Q12" s="729"/>
      <c r="S12" s="416"/>
      <c r="T12" s="417"/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8"/>
    </row>
    <row r="13" spans="1:32" ht="23" customHeight="1" x14ac:dyDescent="0.2">
      <c r="B13" s="727"/>
      <c r="C13" s="741" t="s">
        <v>937</v>
      </c>
      <c r="D13" s="741"/>
      <c r="E13" s="741"/>
      <c r="F13" s="741"/>
      <c r="G13" s="741"/>
      <c r="H13" s="741"/>
      <c r="I13" s="741"/>
      <c r="J13" s="741"/>
      <c r="K13" s="741"/>
      <c r="L13" s="741"/>
      <c r="M13" s="741"/>
      <c r="N13" s="741"/>
      <c r="O13" s="741"/>
      <c r="P13" s="741"/>
      <c r="Q13" s="729"/>
      <c r="S13" s="409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11"/>
      <c r="AF13" s="412"/>
    </row>
    <row r="14" spans="1:32" ht="23" customHeight="1" x14ac:dyDescent="0.15">
      <c r="B14" s="727"/>
      <c r="C14" s="731"/>
      <c r="D14" s="731"/>
      <c r="E14" s="731"/>
      <c r="F14" s="731"/>
      <c r="G14" s="731"/>
      <c r="H14" s="731"/>
      <c r="I14" s="731"/>
      <c r="J14" s="731"/>
      <c r="K14" s="731"/>
      <c r="L14" s="731"/>
      <c r="M14" s="731"/>
      <c r="N14" s="731"/>
      <c r="O14" s="731"/>
      <c r="P14" s="731"/>
      <c r="Q14" s="729"/>
      <c r="S14" s="409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411"/>
      <c r="AF14" s="412"/>
    </row>
    <row r="15" spans="1:32" ht="23" customHeight="1" x14ac:dyDescent="0.15">
      <c r="B15" s="727"/>
      <c r="C15" s="723"/>
      <c r="D15" s="723"/>
      <c r="E15" s="723"/>
      <c r="F15" s="1373" t="s">
        <v>720</v>
      </c>
      <c r="G15" s="1373"/>
      <c r="H15" s="1373"/>
      <c r="I15" s="742">
        <f>ejercicio-2</f>
        <v>2018</v>
      </c>
      <c r="J15" s="743"/>
      <c r="K15" s="723"/>
      <c r="L15" s="1373" t="s">
        <v>719</v>
      </c>
      <c r="M15" s="1373"/>
      <c r="N15" s="1373"/>
      <c r="O15" s="744">
        <f>ejercicio-1</f>
        <v>2019</v>
      </c>
      <c r="P15" s="745"/>
      <c r="Q15" s="729"/>
      <c r="S15" s="409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2"/>
    </row>
    <row r="16" spans="1:32" s="753" customFormat="1" ht="51" customHeight="1" x14ac:dyDescent="0.15">
      <c r="B16" s="746"/>
      <c r="C16" s="747" t="s">
        <v>20</v>
      </c>
      <c r="D16" s="747"/>
      <c r="E16" s="748" t="s">
        <v>21</v>
      </c>
      <c r="F16" s="748" t="s">
        <v>22</v>
      </c>
      <c r="G16" s="748" t="s">
        <v>717</v>
      </c>
      <c r="H16" s="749" t="s">
        <v>716</v>
      </c>
      <c r="I16" s="748" t="s">
        <v>940</v>
      </c>
      <c r="J16" s="748" t="s">
        <v>941</v>
      </c>
      <c r="K16" s="748"/>
      <c r="L16" s="750" t="s">
        <v>721</v>
      </c>
      <c r="M16" s="750" t="s">
        <v>24</v>
      </c>
      <c r="N16" s="750" t="s">
        <v>722</v>
      </c>
      <c r="O16" s="750" t="s">
        <v>26</v>
      </c>
      <c r="P16" s="751" t="s">
        <v>567</v>
      </c>
      <c r="Q16" s="752"/>
      <c r="S16" s="409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2"/>
    </row>
    <row r="17" spans="2:32" ht="23" customHeight="1" x14ac:dyDescent="0.15">
      <c r="B17" s="727"/>
      <c r="C17" s="442" t="s">
        <v>1096</v>
      </c>
      <c r="D17" s="442"/>
      <c r="E17" s="764" t="s">
        <v>1097</v>
      </c>
      <c r="F17" s="443">
        <v>1</v>
      </c>
      <c r="G17" s="762"/>
      <c r="H17" s="762"/>
      <c r="I17" s="445"/>
      <c r="J17" s="445"/>
      <c r="K17" s="445"/>
      <c r="L17" s="445"/>
      <c r="M17" s="445"/>
      <c r="N17" s="445"/>
      <c r="O17" s="445"/>
      <c r="P17" s="445"/>
      <c r="Q17" s="729"/>
      <c r="S17" s="409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411"/>
      <c r="AF17" s="412"/>
    </row>
    <row r="18" spans="2:32" ht="23" customHeight="1" x14ac:dyDescent="0.15">
      <c r="B18" s="727"/>
      <c r="C18" s="446"/>
      <c r="D18" s="446"/>
      <c r="E18" s="765"/>
      <c r="F18" s="447"/>
      <c r="G18" s="763"/>
      <c r="H18" s="763"/>
      <c r="I18" s="449"/>
      <c r="J18" s="449"/>
      <c r="K18" s="449"/>
      <c r="L18" s="449"/>
      <c r="M18" s="449"/>
      <c r="N18" s="449"/>
      <c r="O18" s="449"/>
      <c r="P18" s="449"/>
      <c r="Q18" s="729"/>
      <c r="S18" s="409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411"/>
      <c r="AF18" s="412"/>
    </row>
    <row r="19" spans="2:32" ht="23" customHeight="1" x14ac:dyDescent="0.15">
      <c r="B19" s="727"/>
      <c r="C19" s="446"/>
      <c r="D19" s="446"/>
      <c r="E19" s="765"/>
      <c r="F19" s="447"/>
      <c r="G19" s="763"/>
      <c r="H19" s="763"/>
      <c r="I19" s="449"/>
      <c r="J19" s="449"/>
      <c r="K19" s="449"/>
      <c r="L19" s="449"/>
      <c r="M19" s="449"/>
      <c r="N19" s="449"/>
      <c r="O19" s="449"/>
      <c r="P19" s="449"/>
      <c r="Q19" s="729"/>
      <c r="S19" s="409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2"/>
    </row>
    <row r="20" spans="2:32" ht="23" customHeight="1" x14ac:dyDescent="0.15">
      <c r="B20" s="727"/>
      <c r="C20" s="446"/>
      <c r="D20" s="446"/>
      <c r="E20" s="765"/>
      <c r="F20" s="447"/>
      <c r="G20" s="763"/>
      <c r="H20" s="763"/>
      <c r="I20" s="449"/>
      <c r="J20" s="449"/>
      <c r="K20" s="449"/>
      <c r="L20" s="449"/>
      <c r="M20" s="449"/>
      <c r="N20" s="449"/>
      <c r="O20" s="449"/>
      <c r="P20" s="449"/>
      <c r="Q20" s="729"/>
      <c r="S20" s="409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2"/>
    </row>
    <row r="21" spans="2:32" ht="23" customHeight="1" x14ac:dyDescent="0.15">
      <c r="B21" s="727"/>
      <c r="C21" s="446"/>
      <c r="D21" s="446"/>
      <c r="E21" s="765"/>
      <c r="F21" s="447"/>
      <c r="G21" s="763"/>
      <c r="H21" s="763"/>
      <c r="I21" s="449"/>
      <c r="J21" s="449"/>
      <c r="K21" s="449"/>
      <c r="L21" s="449"/>
      <c r="M21" s="449"/>
      <c r="N21" s="449"/>
      <c r="O21" s="449"/>
      <c r="P21" s="449"/>
      <c r="Q21" s="729"/>
      <c r="S21" s="409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2"/>
    </row>
    <row r="22" spans="2:32" ht="23" customHeight="1" x14ac:dyDescent="0.15">
      <c r="B22" s="727"/>
      <c r="C22" s="446"/>
      <c r="D22" s="446"/>
      <c r="E22" s="765"/>
      <c r="F22" s="447"/>
      <c r="G22" s="763"/>
      <c r="H22" s="763"/>
      <c r="I22" s="449"/>
      <c r="J22" s="449"/>
      <c r="K22" s="449"/>
      <c r="L22" s="449"/>
      <c r="M22" s="449"/>
      <c r="N22" s="449"/>
      <c r="O22" s="449"/>
      <c r="P22" s="449"/>
      <c r="Q22" s="729"/>
      <c r="S22" s="409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2"/>
    </row>
    <row r="23" spans="2:32" ht="23" customHeight="1" x14ac:dyDescent="0.15">
      <c r="B23" s="727"/>
      <c r="C23" s="446"/>
      <c r="D23" s="446"/>
      <c r="E23" s="765"/>
      <c r="F23" s="447"/>
      <c r="G23" s="763"/>
      <c r="H23" s="763"/>
      <c r="I23" s="449"/>
      <c r="J23" s="449"/>
      <c r="K23" s="449"/>
      <c r="L23" s="449"/>
      <c r="M23" s="449"/>
      <c r="N23" s="449"/>
      <c r="O23" s="449"/>
      <c r="P23" s="449"/>
      <c r="Q23" s="729"/>
      <c r="S23" s="409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2"/>
    </row>
    <row r="24" spans="2:32" ht="23" customHeight="1" x14ac:dyDescent="0.15">
      <c r="B24" s="727"/>
      <c r="C24" s="446"/>
      <c r="D24" s="446"/>
      <c r="E24" s="765"/>
      <c r="F24" s="447"/>
      <c r="G24" s="763"/>
      <c r="H24" s="763"/>
      <c r="I24" s="449"/>
      <c r="J24" s="449"/>
      <c r="K24" s="449"/>
      <c r="L24" s="449"/>
      <c r="M24" s="449"/>
      <c r="N24" s="449"/>
      <c r="O24" s="449"/>
      <c r="P24" s="449"/>
      <c r="Q24" s="729"/>
      <c r="S24" s="409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2"/>
    </row>
    <row r="25" spans="2:32" ht="23" customHeight="1" x14ac:dyDescent="0.15">
      <c r="B25" s="727"/>
      <c r="C25" s="446"/>
      <c r="D25" s="446"/>
      <c r="E25" s="765"/>
      <c r="F25" s="447"/>
      <c r="G25" s="763"/>
      <c r="H25" s="763"/>
      <c r="I25" s="449"/>
      <c r="J25" s="449"/>
      <c r="K25" s="449"/>
      <c r="L25" s="449"/>
      <c r="M25" s="449"/>
      <c r="N25" s="449"/>
      <c r="O25" s="449"/>
      <c r="P25" s="449"/>
      <c r="Q25" s="729"/>
      <c r="S25" s="409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2"/>
    </row>
    <row r="26" spans="2:32" ht="23" customHeight="1" x14ac:dyDescent="0.15">
      <c r="B26" s="727"/>
      <c r="C26" s="446"/>
      <c r="D26" s="446"/>
      <c r="E26" s="765"/>
      <c r="F26" s="447"/>
      <c r="G26" s="763"/>
      <c r="H26" s="763"/>
      <c r="I26" s="449"/>
      <c r="J26" s="449"/>
      <c r="K26" s="449"/>
      <c r="L26" s="449"/>
      <c r="M26" s="449"/>
      <c r="N26" s="449"/>
      <c r="O26" s="449"/>
      <c r="P26" s="449"/>
      <c r="Q26" s="729"/>
      <c r="S26" s="409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2"/>
    </row>
    <row r="27" spans="2:32" ht="23" customHeight="1" x14ac:dyDescent="0.15">
      <c r="B27" s="727"/>
      <c r="C27" s="446"/>
      <c r="D27" s="446"/>
      <c r="E27" s="765"/>
      <c r="F27" s="447"/>
      <c r="G27" s="763"/>
      <c r="H27" s="763"/>
      <c r="I27" s="449"/>
      <c r="J27" s="449"/>
      <c r="K27" s="449"/>
      <c r="L27" s="449"/>
      <c r="M27" s="449"/>
      <c r="N27" s="449"/>
      <c r="O27" s="449"/>
      <c r="P27" s="449"/>
      <c r="Q27" s="729"/>
      <c r="S27" s="409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2"/>
    </row>
    <row r="28" spans="2:32" ht="23" customHeight="1" x14ac:dyDescent="0.15">
      <c r="B28" s="727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3"/>
      <c r="N28" s="723"/>
      <c r="O28" s="723"/>
      <c r="P28" s="723"/>
      <c r="Q28" s="729"/>
      <c r="S28" s="409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2"/>
    </row>
    <row r="29" spans="2:32" ht="23" customHeight="1" x14ac:dyDescent="0.2">
      <c r="B29" s="727"/>
      <c r="C29" s="741" t="s">
        <v>27</v>
      </c>
      <c r="D29" s="741"/>
      <c r="E29" s="741"/>
      <c r="F29" s="741"/>
      <c r="G29" s="741"/>
      <c r="H29" s="741"/>
      <c r="I29" s="741"/>
      <c r="J29" s="741"/>
      <c r="K29" s="741"/>
      <c r="L29" s="741"/>
      <c r="M29" s="741"/>
      <c r="N29" s="741"/>
      <c r="O29" s="741"/>
      <c r="P29" s="741"/>
      <c r="Q29" s="729"/>
      <c r="S29" s="409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2"/>
    </row>
    <row r="30" spans="2:32" ht="23" customHeight="1" x14ac:dyDescent="0.15">
      <c r="B30" s="727"/>
      <c r="C30" s="731"/>
      <c r="D30" s="731"/>
      <c r="E30" s="731"/>
      <c r="F30" s="731"/>
      <c r="G30" s="731"/>
      <c r="H30" s="731"/>
      <c r="I30" s="731"/>
      <c r="J30" s="731"/>
      <c r="K30" s="731"/>
      <c r="L30" s="731"/>
      <c r="M30" s="731"/>
      <c r="N30" s="731"/>
      <c r="O30" s="731"/>
      <c r="P30" s="731"/>
      <c r="Q30" s="729"/>
      <c r="S30" s="419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1"/>
    </row>
    <row r="31" spans="2:32" ht="23" customHeight="1" x14ac:dyDescent="0.15">
      <c r="B31" s="727"/>
      <c r="C31" s="723"/>
      <c r="D31" s="723"/>
      <c r="E31" s="723"/>
      <c r="F31" s="1373" t="s">
        <v>720</v>
      </c>
      <c r="G31" s="1373"/>
      <c r="H31" s="1373"/>
      <c r="I31" s="742">
        <f>ejercicio-2</f>
        <v>2018</v>
      </c>
      <c r="J31" s="743"/>
      <c r="K31" s="723"/>
      <c r="L31" s="1374" t="s">
        <v>719</v>
      </c>
      <c r="M31" s="1374"/>
      <c r="N31" s="1374"/>
      <c r="O31" s="754">
        <f>ejercicio-1</f>
        <v>2019</v>
      </c>
      <c r="Q31" s="729"/>
      <c r="S31" s="419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1"/>
    </row>
    <row r="32" spans="2:32" ht="44" customHeight="1" x14ac:dyDescent="0.15">
      <c r="B32" s="727"/>
      <c r="C32" s="747" t="s">
        <v>20</v>
      </c>
      <c r="D32" s="747"/>
      <c r="E32" s="748" t="s">
        <v>21</v>
      </c>
      <c r="F32" s="748" t="s">
        <v>22</v>
      </c>
      <c r="G32" s="748" t="s">
        <v>717</v>
      </c>
      <c r="H32" s="749" t="s">
        <v>716</v>
      </c>
      <c r="I32" s="748" t="s">
        <v>940</v>
      </c>
      <c r="J32" s="748" t="s">
        <v>28</v>
      </c>
      <c r="K32" s="748"/>
      <c r="L32" s="748" t="s">
        <v>23</v>
      </c>
      <c r="M32" s="748" t="s">
        <v>24</v>
      </c>
      <c r="N32" s="748" t="s">
        <v>25</v>
      </c>
      <c r="O32" s="748" t="s">
        <v>26</v>
      </c>
      <c r="P32" s="751" t="s">
        <v>567</v>
      </c>
      <c r="Q32" s="729"/>
      <c r="S32" s="409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2"/>
    </row>
    <row r="33" spans="2:32" ht="23" customHeight="1" x14ac:dyDescent="0.15">
      <c r="B33" s="727"/>
      <c r="C33" s="442"/>
      <c r="D33" s="442"/>
      <c r="E33" s="764"/>
      <c r="F33" s="549"/>
      <c r="G33" s="762"/>
      <c r="H33" s="444"/>
      <c r="I33" s="445"/>
      <c r="J33" s="445"/>
      <c r="K33" s="445"/>
      <c r="L33" s="445"/>
      <c r="M33" s="445"/>
      <c r="N33" s="445"/>
      <c r="O33" s="445"/>
      <c r="P33" s="445"/>
      <c r="Q33" s="729"/>
      <c r="S33" s="409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2"/>
    </row>
    <row r="34" spans="2:32" ht="23" customHeight="1" x14ac:dyDescent="0.15">
      <c r="B34" s="727"/>
      <c r="C34" s="446"/>
      <c r="D34" s="446"/>
      <c r="E34" s="765"/>
      <c r="F34" s="550"/>
      <c r="G34" s="763"/>
      <c r="H34" s="448"/>
      <c r="I34" s="449"/>
      <c r="J34" s="449"/>
      <c r="K34" s="449"/>
      <c r="L34" s="449"/>
      <c r="M34" s="449"/>
      <c r="N34" s="449"/>
      <c r="O34" s="449"/>
      <c r="P34" s="449"/>
      <c r="Q34" s="729"/>
      <c r="S34" s="409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2"/>
    </row>
    <row r="35" spans="2:32" ht="23" customHeight="1" x14ac:dyDescent="0.15">
      <c r="B35" s="727"/>
      <c r="C35" s="446"/>
      <c r="D35" s="446"/>
      <c r="E35" s="765"/>
      <c r="F35" s="550"/>
      <c r="G35" s="763"/>
      <c r="H35" s="448"/>
      <c r="I35" s="449"/>
      <c r="J35" s="449"/>
      <c r="K35" s="449"/>
      <c r="L35" s="449"/>
      <c r="M35" s="449"/>
      <c r="N35" s="449"/>
      <c r="O35" s="449"/>
      <c r="P35" s="449"/>
      <c r="Q35" s="729"/>
      <c r="S35" s="409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2"/>
    </row>
    <row r="36" spans="2:32" ht="23" customHeight="1" x14ac:dyDescent="0.15">
      <c r="B36" s="727"/>
      <c r="C36" s="446"/>
      <c r="D36" s="446"/>
      <c r="E36" s="765"/>
      <c r="F36" s="550"/>
      <c r="G36" s="763"/>
      <c r="H36" s="448"/>
      <c r="I36" s="449"/>
      <c r="J36" s="449"/>
      <c r="K36" s="449"/>
      <c r="L36" s="449"/>
      <c r="M36" s="449"/>
      <c r="N36" s="449"/>
      <c r="O36" s="449"/>
      <c r="P36" s="449"/>
      <c r="Q36" s="729"/>
      <c r="S36" s="422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4"/>
    </row>
    <row r="37" spans="2:32" ht="23" customHeight="1" x14ac:dyDescent="0.15">
      <c r="B37" s="727"/>
      <c r="C37" s="446"/>
      <c r="D37" s="446"/>
      <c r="E37" s="765"/>
      <c r="F37" s="550"/>
      <c r="G37" s="763"/>
      <c r="H37" s="448"/>
      <c r="I37" s="449"/>
      <c r="J37" s="449"/>
      <c r="K37" s="449"/>
      <c r="L37" s="449"/>
      <c r="M37" s="449"/>
      <c r="N37" s="449"/>
      <c r="O37" s="449"/>
      <c r="P37" s="449"/>
      <c r="Q37" s="729"/>
      <c r="S37" s="422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  <c r="AD37" s="423"/>
      <c r="AE37" s="423"/>
      <c r="AF37" s="424"/>
    </row>
    <row r="38" spans="2:32" ht="23" customHeight="1" x14ac:dyDescent="0.15">
      <c r="B38" s="727"/>
      <c r="C38" s="446"/>
      <c r="D38" s="446"/>
      <c r="E38" s="765"/>
      <c r="F38" s="550"/>
      <c r="G38" s="763"/>
      <c r="H38" s="448"/>
      <c r="I38" s="449"/>
      <c r="J38" s="449"/>
      <c r="K38" s="449"/>
      <c r="L38" s="449"/>
      <c r="M38" s="449"/>
      <c r="N38" s="449"/>
      <c r="O38" s="449"/>
      <c r="P38" s="449"/>
      <c r="Q38" s="729"/>
      <c r="S38" s="422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4"/>
    </row>
    <row r="39" spans="2:32" ht="23" customHeight="1" x14ac:dyDescent="0.15">
      <c r="B39" s="727"/>
      <c r="C39" s="446"/>
      <c r="D39" s="446"/>
      <c r="E39" s="765"/>
      <c r="F39" s="550"/>
      <c r="G39" s="763"/>
      <c r="H39" s="448"/>
      <c r="I39" s="449"/>
      <c r="J39" s="449"/>
      <c r="K39" s="449"/>
      <c r="L39" s="449"/>
      <c r="M39" s="449"/>
      <c r="N39" s="449"/>
      <c r="O39" s="449"/>
      <c r="P39" s="449"/>
      <c r="Q39" s="729"/>
      <c r="S39" s="422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  <c r="AD39" s="423"/>
      <c r="AE39" s="423"/>
      <c r="AF39" s="424"/>
    </row>
    <row r="40" spans="2:32" ht="23" customHeight="1" x14ac:dyDescent="0.15">
      <c r="B40" s="727"/>
      <c r="C40" s="446"/>
      <c r="D40" s="446"/>
      <c r="E40" s="765"/>
      <c r="F40" s="550"/>
      <c r="G40" s="763"/>
      <c r="H40" s="448"/>
      <c r="I40" s="449"/>
      <c r="J40" s="449"/>
      <c r="K40" s="449"/>
      <c r="L40" s="449"/>
      <c r="M40" s="449"/>
      <c r="N40" s="449"/>
      <c r="O40" s="449"/>
      <c r="P40" s="449"/>
      <c r="Q40" s="729"/>
      <c r="S40" s="422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4"/>
    </row>
    <row r="41" spans="2:32" ht="23" customHeight="1" x14ac:dyDescent="0.15">
      <c r="B41" s="727"/>
      <c r="C41" s="446"/>
      <c r="D41" s="446"/>
      <c r="E41" s="765"/>
      <c r="F41" s="550"/>
      <c r="G41" s="763"/>
      <c r="H41" s="448"/>
      <c r="I41" s="449"/>
      <c r="J41" s="449"/>
      <c r="K41" s="449"/>
      <c r="L41" s="449"/>
      <c r="M41" s="449"/>
      <c r="N41" s="449"/>
      <c r="O41" s="449"/>
      <c r="P41" s="449"/>
      <c r="Q41" s="729"/>
      <c r="S41" s="422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4"/>
    </row>
    <row r="42" spans="2:32" ht="23" customHeight="1" x14ac:dyDescent="0.15">
      <c r="B42" s="727"/>
      <c r="C42" s="446"/>
      <c r="D42" s="446"/>
      <c r="E42" s="765"/>
      <c r="F42" s="550"/>
      <c r="G42" s="763"/>
      <c r="H42" s="448"/>
      <c r="I42" s="449"/>
      <c r="J42" s="449"/>
      <c r="K42" s="449"/>
      <c r="L42" s="449"/>
      <c r="M42" s="449"/>
      <c r="N42" s="449"/>
      <c r="O42" s="449"/>
      <c r="P42" s="449"/>
      <c r="Q42" s="729"/>
      <c r="S42" s="422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4"/>
    </row>
    <row r="43" spans="2:32" ht="23" customHeight="1" x14ac:dyDescent="0.15">
      <c r="B43" s="727"/>
      <c r="C43" s="446"/>
      <c r="D43" s="446"/>
      <c r="E43" s="765"/>
      <c r="F43" s="550"/>
      <c r="G43" s="763"/>
      <c r="H43" s="448"/>
      <c r="I43" s="449"/>
      <c r="J43" s="449"/>
      <c r="K43" s="449"/>
      <c r="L43" s="449"/>
      <c r="M43" s="449"/>
      <c r="N43" s="449"/>
      <c r="O43" s="449"/>
      <c r="P43" s="449"/>
      <c r="Q43" s="729"/>
      <c r="S43" s="422"/>
      <c r="T43" s="423"/>
      <c r="U43" s="423"/>
      <c r="V43" s="423"/>
      <c r="W43" s="423"/>
      <c r="X43" s="423"/>
      <c r="Y43" s="423"/>
      <c r="Z43" s="423"/>
      <c r="AA43" s="423"/>
      <c r="AB43" s="423"/>
      <c r="AC43" s="423"/>
      <c r="AD43" s="423"/>
      <c r="AE43" s="423"/>
      <c r="AF43" s="424"/>
    </row>
    <row r="44" spans="2:32" ht="23" customHeight="1" x14ac:dyDescent="0.15">
      <c r="B44" s="727"/>
      <c r="C44" s="723"/>
      <c r="D44" s="723"/>
      <c r="E44" s="723"/>
      <c r="F44" s="723"/>
      <c r="G44" s="723"/>
      <c r="H44" s="723"/>
      <c r="I44" s="723"/>
      <c r="J44" s="723"/>
      <c r="K44" s="723"/>
      <c r="L44" s="723"/>
      <c r="M44" s="723"/>
      <c r="N44" s="723"/>
      <c r="O44" s="723"/>
      <c r="P44" s="723"/>
      <c r="Q44" s="729"/>
      <c r="S44" s="422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4"/>
    </row>
    <row r="45" spans="2:32" ht="23" customHeight="1" x14ac:dyDescent="0.2">
      <c r="B45" s="727"/>
      <c r="C45" s="741" t="s">
        <v>29</v>
      </c>
      <c r="D45" s="741"/>
      <c r="E45" s="741"/>
      <c r="F45" s="741"/>
      <c r="G45" s="741"/>
      <c r="H45" s="741"/>
      <c r="I45" s="741"/>
      <c r="J45" s="741"/>
      <c r="K45" s="741"/>
      <c r="L45" s="741"/>
      <c r="M45" s="741"/>
      <c r="N45" s="741"/>
      <c r="O45" s="741"/>
      <c r="P45" s="728"/>
      <c r="Q45" s="729"/>
      <c r="S45" s="422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4"/>
    </row>
    <row r="46" spans="2:32" ht="23" customHeight="1" x14ac:dyDescent="0.2">
      <c r="B46" s="727"/>
      <c r="C46" s="728"/>
      <c r="D46" s="728"/>
      <c r="E46" s="728"/>
      <c r="F46" s="728"/>
      <c r="G46" s="728"/>
      <c r="H46" s="728"/>
      <c r="I46" s="728"/>
      <c r="J46" s="728"/>
      <c r="K46" s="728"/>
      <c r="L46" s="728"/>
      <c r="M46" s="728"/>
      <c r="N46" s="728"/>
      <c r="O46" s="728"/>
      <c r="P46" s="728"/>
      <c r="Q46" s="729"/>
      <c r="S46" s="422"/>
      <c r="T46" s="423"/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4"/>
    </row>
    <row r="47" spans="2:32" ht="23" customHeight="1" x14ac:dyDescent="0.15">
      <c r="B47" s="727"/>
      <c r="C47" s="1371" t="s">
        <v>30</v>
      </c>
      <c r="D47" s="1371"/>
      <c r="E47" s="747"/>
      <c r="F47" s="748"/>
      <c r="G47" s="755"/>
      <c r="H47" s="755"/>
      <c r="I47" s="755"/>
      <c r="J47" s="755"/>
      <c r="K47" s="755"/>
      <c r="L47" s="755"/>
      <c r="M47" s="755"/>
      <c r="N47" s="755"/>
      <c r="O47" s="755"/>
      <c r="P47" s="755"/>
      <c r="Q47" s="729"/>
      <c r="S47" s="422"/>
      <c r="T47" s="423"/>
      <c r="U47" s="423"/>
      <c r="V47" s="423"/>
      <c r="W47" s="423"/>
      <c r="X47" s="423"/>
      <c r="Y47" s="423"/>
      <c r="Z47" s="423"/>
      <c r="AA47" s="423"/>
      <c r="AB47" s="423"/>
      <c r="AC47" s="423"/>
      <c r="AD47" s="423"/>
      <c r="AE47" s="423"/>
      <c r="AF47" s="424"/>
    </row>
    <row r="48" spans="2:32" ht="23" customHeight="1" x14ac:dyDescent="0.15">
      <c r="B48" s="727"/>
      <c r="C48" s="1372" t="s">
        <v>1093</v>
      </c>
      <c r="D48" s="1372"/>
      <c r="E48" s="1372"/>
      <c r="F48" s="1372"/>
      <c r="G48" s="723"/>
      <c r="H48" s="723"/>
      <c r="I48" s="723"/>
      <c r="J48" s="723"/>
      <c r="K48" s="723"/>
      <c r="L48" s="723"/>
      <c r="M48" s="723"/>
      <c r="N48" s="723"/>
      <c r="O48" s="723"/>
      <c r="P48" s="723"/>
      <c r="Q48" s="729"/>
      <c r="S48" s="422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4"/>
    </row>
    <row r="49" spans="2:32" ht="23" customHeight="1" x14ac:dyDescent="0.15">
      <c r="B49" s="727"/>
      <c r="C49" s="624"/>
      <c r="D49" s="624"/>
      <c r="E49" s="624"/>
      <c r="F49" s="624"/>
      <c r="G49" s="723"/>
      <c r="H49" s="723"/>
      <c r="I49" s="723"/>
      <c r="J49" s="723"/>
      <c r="K49" s="723"/>
      <c r="L49" s="723"/>
      <c r="M49" s="723"/>
      <c r="N49" s="723"/>
      <c r="O49" s="723"/>
      <c r="P49" s="723"/>
      <c r="Q49" s="729"/>
      <c r="S49" s="422"/>
      <c r="T49" s="423"/>
      <c r="U49" s="423"/>
      <c r="V49" s="423"/>
      <c r="W49" s="423"/>
      <c r="X49" s="423"/>
      <c r="Y49" s="423"/>
      <c r="Z49" s="423"/>
      <c r="AA49" s="423"/>
      <c r="AB49" s="423"/>
      <c r="AC49" s="423"/>
      <c r="AD49" s="423"/>
      <c r="AE49" s="423"/>
      <c r="AF49" s="424"/>
    </row>
    <row r="50" spans="2:32" ht="23" customHeight="1" x14ac:dyDescent="0.15">
      <c r="B50" s="727"/>
      <c r="C50" s="624"/>
      <c r="D50" s="624"/>
      <c r="E50" s="624"/>
      <c r="F50" s="624"/>
      <c r="G50" s="723"/>
      <c r="H50" s="723"/>
      <c r="I50" s="723"/>
      <c r="J50" s="723"/>
      <c r="K50" s="723"/>
      <c r="L50" s="723"/>
      <c r="M50" s="723"/>
      <c r="N50" s="723"/>
      <c r="O50" s="723"/>
      <c r="P50" s="723"/>
      <c r="Q50" s="729"/>
      <c r="S50" s="422"/>
      <c r="T50" s="423"/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4"/>
    </row>
    <row r="51" spans="2:32" ht="23" customHeight="1" x14ac:dyDescent="0.15">
      <c r="B51" s="727"/>
      <c r="C51" s="694" t="s">
        <v>405</v>
      </c>
      <c r="D51" s="624"/>
      <c r="E51" s="624"/>
      <c r="F51" s="624"/>
      <c r="G51" s="723"/>
      <c r="H51" s="723"/>
      <c r="I51" s="723"/>
      <c r="J51" s="723"/>
      <c r="K51" s="723"/>
      <c r="L51" s="723"/>
      <c r="M51" s="723"/>
      <c r="N51" s="723"/>
      <c r="O51" s="723"/>
      <c r="P51" s="723"/>
      <c r="Q51" s="729"/>
      <c r="S51" s="422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  <c r="AD51" s="423"/>
      <c r="AE51" s="423"/>
      <c r="AF51" s="424"/>
    </row>
    <row r="52" spans="2:32" ht="23" customHeight="1" x14ac:dyDescent="0.15">
      <c r="B52" s="727"/>
      <c r="C52" s="695"/>
      <c r="D52" s="624"/>
      <c r="E52" s="624"/>
      <c r="F52" s="624"/>
      <c r="G52" s="723"/>
      <c r="H52" s="723"/>
      <c r="I52" s="723"/>
      <c r="J52" s="723"/>
      <c r="K52" s="723"/>
      <c r="L52" s="723"/>
      <c r="M52" s="723"/>
      <c r="N52" s="723"/>
      <c r="O52" s="723"/>
      <c r="P52" s="723"/>
      <c r="Q52" s="729"/>
      <c r="S52" s="422"/>
      <c r="T52" s="423"/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4"/>
    </row>
    <row r="53" spans="2:32" ht="23" customHeight="1" x14ac:dyDescent="0.15">
      <c r="B53" s="727"/>
      <c r="C53" s="756" t="s">
        <v>938</v>
      </c>
      <c r="D53" s="624"/>
      <c r="E53" s="624"/>
      <c r="F53" s="624"/>
      <c r="G53" s="723"/>
      <c r="H53" s="723"/>
      <c r="I53" s="723"/>
      <c r="J53" s="723"/>
      <c r="K53" s="723"/>
      <c r="L53" s="723"/>
      <c r="M53" s="723"/>
      <c r="N53" s="723"/>
      <c r="O53" s="723"/>
      <c r="P53" s="723"/>
      <c r="Q53" s="729"/>
      <c r="S53" s="422"/>
      <c r="T53" s="423"/>
      <c r="U53" s="423"/>
      <c r="V53" s="423"/>
      <c r="W53" s="423"/>
      <c r="X53" s="423"/>
      <c r="Y53" s="423"/>
      <c r="Z53" s="423"/>
      <c r="AA53" s="423"/>
      <c r="AB53" s="423"/>
      <c r="AC53" s="423"/>
      <c r="AD53" s="423"/>
      <c r="AE53" s="423"/>
      <c r="AF53" s="424"/>
    </row>
    <row r="54" spans="2:32" ht="23" customHeight="1" x14ac:dyDescent="0.15">
      <c r="B54" s="727"/>
      <c r="C54" s="756" t="s">
        <v>939</v>
      </c>
      <c r="D54" s="624"/>
      <c r="E54" s="624"/>
      <c r="F54" s="624"/>
      <c r="G54" s="723"/>
      <c r="H54" s="723"/>
      <c r="I54" s="723"/>
      <c r="J54" s="723"/>
      <c r="K54" s="723"/>
      <c r="L54" s="723"/>
      <c r="M54" s="723"/>
      <c r="N54" s="723"/>
      <c r="O54" s="723"/>
      <c r="P54" s="723"/>
      <c r="Q54" s="729"/>
      <c r="S54" s="422"/>
      <c r="T54" s="423"/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4"/>
    </row>
    <row r="55" spans="2:32" ht="23" customHeight="1" thickBot="1" x14ac:dyDescent="0.2">
      <c r="B55" s="757"/>
      <c r="C55" s="1369"/>
      <c r="D55" s="1369"/>
      <c r="E55" s="1369"/>
      <c r="F55" s="1369"/>
      <c r="G55" s="758"/>
      <c r="H55" s="758"/>
      <c r="I55" s="758"/>
      <c r="J55" s="758"/>
      <c r="K55" s="758"/>
      <c r="L55" s="758"/>
      <c r="M55" s="758"/>
      <c r="N55" s="758"/>
      <c r="O55" s="758"/>
      <c r="P55" s="758"/>
      <c r="Q55" s="759"/>
      <c r="S55" s="425"/>
      <c r="T55" s="426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7"/>
    </row>
    <row r="56" spans="2:32" ht="23" customHeight="1" x14ac:dyDescent="0.15">
      <c r="C56" s="723"/>
      <c r="D56" s="723"/>
      <c r="E56" s="723"/>
      <c r="F56" s="723"/>
      <c r="G56" s="723"/>
      <c r="H56" s="723"/>
      <c r="I56" s="723"/>
      <c r="J56" s="723"/>
      <c r="K56" s="723"/>
      <c r="L56" s="723"/>
      <c r="M56" s="723"/>
      <c r="N56" s="723"/>
      <c r="O56" s="723"/>
      <c r="P56" s="723"/>
      <c r="R56" s="722" t="s">
        <v>936</v>
      </c>
    </row>
    <row r="57" spans="2:32" ht="13" x14ac:dyDescent="0.15">
      <c r="C57" s="760" t="s">
        <v>70</v>
      </c>
      <c r="D57" s="723"/>
      <c r="E57" s="723"/>
      <c r="F57" s="723"/>
      <c r="G57" s="723"/>
      <c r="H57" s="723"/>
      <c r="I57" s="723"/>
      <c r="J57" s="723"/>
      <c r="K57" s="723"/>
      <c r="L57" s="723"/>
      <c r="M57" s="723"/>
      <c r="N57" s="723"/>
      <c r="P57" s="701" t="s">
        <v>77</v>
      </c>
    </row>
    <row r="58" spans="2:32" ht="13" x14ac:dyDescent="0.15">
      <c r="C58" s="761" t="s">
        <v>71</v>
      </c>
      <c r="D58" s="723"/>
      <c r="E58" s="723"/>
      <c r="F58" s="723"/>
      <c r="G58" s="723"/>
      <c r="H58" s="723"/>
      <c r="I58" s="723"/>
      <c r="J58" s="723"/>
      <c r="K58" s="723"/>
      <c r="L58" s="723"/>
      <c r="M58" s="723"/>
      <c r="N58" s="723"/>
      <c r="O58" s="723"/>
      <c r="P58" s="723"/>
    </row>
    <row r="59" spans="2:32" ht="13" x14ac:dyDescent="0.15">
      <c r="C59" s="761" t="s">
        <v>72</v>
      </c>
      <c r="D59" s="723"/>
      <c r="E59" s="723"/>
      <c r="F59" s="723"/>
      <c r="G59" s="723"/>
      <c r="H59" s="723"/>
      <c r="I59" s="723"/>
      <c r="J59" s="723"/>
      <c r="K59" s="723"/>
      <c r="L59" s="723"/>
      <c r="M59" s="723"/>
      <c r="N59" s="723"/>
      <c r="O59" s="723"/>
      <c r="P59" s="723"/>
    </row>
    <row r="60" spans="2:32" ht="13" x14ac:dyDescent="0.15">
      <c r="C60" s="761" t="s">
        <v>73</v>
      </c>
      <c r="D60" s="723"/>
      <c r="E60" s="723"/>
      <c r="F60" s="723"/>
      <c r="G60" s="723"/>
      <c r="H60" s="723"/>
      <c r="I60" s="723"/>
      <c r="J60" s="723"/>
      <c r="K60" s="723"/>
      <c r="L60" s="723"/>
      <c r="M60" s="723"/>
      <c r="N60" s="723"/>
      <c r="O60" s="723"/>
      <c r="P60" s="723"/>
    </row>
    <row r="61" spans="2:32" ht="13" x14ac:dyDescent="0.15">
      <c r="C61" s="761" t="s">
        <v>74</v>
      </c>
      <c r="D61" s="723"/>
      <c r="E61" s="723"/>
      <c r="F61" s="723"/>
      <c r="G61" s="723"/>
      <c r="H61" s="723"/>
      <c r="I61" s="723"/>
      <c r="J61" s="723"/>
      <c r="K61" s="723"/>
      <c r="L61" s="723"/>
      <c r="M61" s="723"/>
      <c r="N61" s="723"/>
      <c r="O61" s="723"/>
      <c r="P61" s="723"/>
    </row>
    <row r="62" spans="2:32" ht="23" customHeight="1" x14ac:dyDescent="0.15">
      <c r="C62" s="723"/>
      <c r="D62" s="723"/>
      <c r="E62" s="723"/>
      <c r="F62" s="723"/>
      <c r="G62" s="723"/>
      <c r="H62" s="723"/>
      <c r="I62" s="723"/>
      <c r="J62" s="723"/>
      <c r="K62" s="723"/>
      <c r="L62" s="723"/>
      <c r="M62" s="723"/>
      <c r="N62" s="723"/>
      <c r="O62" s="723"/>
      <c r="P62" s="723"/>
    </row>
    <row r="63" spans="2:32" ht="23" customHeight="1" x14ac:dyDescent="0.15">
      <c r="C63" s="723"/>
      <c r="D63" s="723"/>
      <c r="E63" s="723"/>
      <c r="F63" s="723"/>
      <c r="G63" s="723"/>
      <c r="H63" s="723"/>
      <c r="I63" s="723"/>
      <c r="J63" s="723"/>
      <c r="K63" s="723"/>
      <c r="L63" s="723"/>
      <c r="M63" s="723"/>
      <c r="N63" s="723"/>
      <c r="O63" s="723"/>
      <c r="P63" s="723"/>
    </row>
    <row r="64" spans="2:32" ht="23" customHeight="1" x14ac:dyDescent="0.15">
      <c r="C64" s="723"/>
      <c r="D64" s="723"/>
      <c r="E64" s="723"/>
      <c r="F64" s="723"/>
      <c r="G64" s="723"/>
      <c r="H64" s="723"/>
      <c r="I64" s="723"/>
      <c r="J64" s="723"/>
      <c r="K64" s="723"/>
      <c r="L64" s="723"/>
      <c r="M64" s="723"/>
      <c r="N64" s="723"/>
      <c r="O64" s="723"/>
      <c r="P64" s="723"/>
    </row>
    <row r="65" spans="3:16" ht="23" customHeight="1" x14ac:dyDescent="0.15">
      <c r="C65" s="723"/>
      <c r="D65" s="723"/>
      <c r="E65" s="723"/>
      <c r="F65" s="723"/>
      <c r="G65" s="723"/>
      <c r="H65" s="723"/>
      <c r="I65" s="723"/>
      <c r="J65" s="723"/>
      <c r="K65" s="723"/>
      <c r="L65" s="723"/>
      <c r="M65" s="723"/>
      <c r="N65" s="723"/>
      <c r="O65" s="723"/>
      <c r="P65" s="723"/>
    </row>
    <row r="66" spans="3:16" ht="23" customHeight="1" x14ac:dyDescent="0.15">
      <c r="F66" s="723"/>
      <c r="G66" s="723"/>
      <c r="H66" s="723"/>
      <c r="I66" s="723"/>
      <c r="J66" s="723"/>
      <c r="K66" s="723"/>
      <c r="L66" s="723"/>
      <c r="M66" s="723"/>
      <c r="N66" s="723"/>
      <c r="O66" s="723"/>
      <c r="P66" s="723"/>
    </row>
  </sheetData>
  <sheetProtection sheet="1" insertRows="0"/>
  <mergeCells count="9">
    <mergeCell ref="P6:P7"/>
    <mergeCell ref="C55:F55"/>
    <mergeCell ref="D9:O9"/>
    <mergeCell ref="C47:D47"/>
    <mergeCell ref="C48:F48"/>
    <mergeCell ref="L15:N15"/>
    <mergeCell ref="F15:H15"/>
    <mergeCell ref="L31:N31"/>
    <mergeCell ref="F31:H31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4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97"/>
  <sheetViews>
    <sheetView topLeftCell="A43" zoomScaleNormal="50" zoomScalePageLayoutView="50" workbookViewId="0">
      <selection activeCell="J44" sqref="J44"/>
    </sheetView>
  </sheetViews>
  <sheetFormatPr baseColWidth="10" defaultColWidth="10.7109375" defaultRowHeight="23" customHeight="1" x14ac:dyDescent="0.15"/>
  <cols>
    <col min="1" max="1" width="4.28515625" style="41" bestFit="1" customWidth="1"/>
    <col min="2" max="2" width="3.28515625" style="41" customWidth="1"/>
    <col min="3" max="3" width="13.5703125" style="41" customWidth="1"/>
    <col min="4" max="4" width="76.7109375" style="41" customWidth="1"/>
    <col min="5" max="7" width="18.28515625" style="41" customWidth="1"/>
    <col min="8" max="8" width="3.28515625" style="41" customWidth="1"/>
    <col min="9" max="16384" width="10.7109375" style="41"/>
  </cols>
  <sheetData>
    <row r="1" spans="1:23" ht="23" customHeight="1" x14ac:dyDescent="0.15">
      <c r="D1" s="43"/>
    </row>
    <row r="2" spans="1:23" ht="23" customHeight="1" x14ac:dyDescent="0.15">
      <c r="D2" s="311" t="str">
        <f>_GENERAL!D2</f>
        <v>Área de Presidencia, Hacienda y Modernización</v>
      </c>
    </row>
    <row r="3" spans="1:23" ht="23" customHeight="1" x14ac:dyDescent="0.15">
      <c r="D3" s="311" t="str">
        <f>_GENERAL!D3</f>
        <v>Dirección Insular de Hacienda</v>
      </c>
    </row>
    <row r="4" spans="1:23" ht="23" customHeight="1" thickBot="1" x14ac:dyDescent="0.2">
      <c r="A4" s="41" t="s">
        <v>935</v>
      </c>
    </row>
    <row r="5" spans="1:23" ht="9" customHeight="1" x14ac:dyDescent="0.15">
      <c r="B5" s="44"/>
      <c r="C5" s="45"/>
      <c r="D5" s="45"/>
      <c r="E5" s="45"/>
      <c r="F5" s="45"/>
      <c r="G5" s="45"/>
      <c r="H5" s="46"/>
      <c r="J5" s="406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8"/>
    </row>
    <row r="6" spans="1:23" ht="30" customHeight="1" x14ac:dyDescent="0.2">
      <c r="B6" s="47"/>
      <c r="C6" s="1" t="s">
        <v>0</v>
      </c>
      <c r="D6" s="43"/>
      <c r="E6" s="43"/>
      <c r="F6" s="43"/>
      <c r="G6" s="1362">
        <f>ejercicio</f>
        <v>2020</v>
      </c>
      <c r="H6" s="49"/>
      <c r="J6" s="409"/>
      <c r="K6" s="410" t="s">
        <v>677</v>
      </c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2"/>
    </row>
    <row r="7" spans="1:23" ht="30" customHeight="1" x14ac:dyDescent="0.2">
      <c r="B7" s="47"/>
      <c r="C7" s="1" t="s">
        <v>1</v>
      </c>
      <c r="D7" s="43"/>
      <c r="E7" s="43"/>
      <c r="F7" s="43"/>
      <c r="G7" s="1362"/>
      <c r="H7" s="49"/>
      <c r="J7" s="409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  <c r="V7" s="411"/>
      <c r="W7" s="412"/>
    </row>
    <row r="8" spans="1:23" ht="30" customHeight="1" x14ac:dyDescent="0.15">
      <c r="B8" s="47"/>
      <c r="C8" s="48"/>
      <c r="D8" s="43"/>
      <c r="E8" s="43"/>
      <c r="F8" s="43"/>
      <c r="G8" s="50"/>
      <c r="H8" s="49"/>
      <c r="J8" s="409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2"/>
    </row>
    <row r="9" spans="1:23" s="59" customFormat="1" ht="30" customHeight="1" x14ac:dyDescent="0.2">
      <c r="B9" s="57"/>
      <c r="C9" s="38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58"/>
      <c r="J9" s="413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5"/>
    </row>
    <row r="10" spans="1:23" ht="7.25" customHeight="1" x14ac:dyDescent="0.15">
      <c r="B10" s="47"/>
      <c r="C10" s="43"/>
      <c r="D10" s="43"/>
      <c r="E10" s="43"/>
      <c r="F10" s="43"/>
      <c r="G10" s="43"/>
      <c r="H10" s="49"/>
      <c r="J10" s="409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2"/>
    </row>
    <row r="11" spans="1:23" s="61" customFormat="1" ht="30" customHeight="1" x14ac:dyDescent="0.2">
      <c r="B11" s="23"/>
      <c r="C11" s="11" t="s">
        <v>78</v>
      </c>
      <c r="D11" s="11"/>
      <c r="E11" s="11"/>
      <c r="F11" s="11"/>
      <c r="G11" s="11"/>
      <c r="H11" s="60"/>
      <c r="J11" s="416"/>
      <c r="K11" s="417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8"/>
    </row>
    <row r="12" spans="1:23" s="61" customFormat="1" ht="30" customHeight="1" x14ac:dyDescent="0.2">
      <c r="B12" s="23"/>
      <c r="C12" s="65"/>
      <c r="D12" s="65"/>
      <c r="E12" s="65"/>
      <c r="F12" s="65"/>
      <c r="G12" s="65"/>
      <c r="H12" s="60"/>
      <c r="J12" s="416"/>
      <c r="K12" s="417"/>
      <c r="L12" s="417"/>
      <c r="M12" s="417"/>
      <c r="N12" s="417"/>
      <c r="O12" s="417"/>
      <c r="P12" s="417"/>
      <c r="Q12" s="417"/>
      <c r="R12" s="417"/>
      <c r="S12" s="417"/>
      <c r="T12" s="417"/>
      <c r="U12" s="417"/>
      <c r="V12" s="417"/>
      <c r="W12" s="418"/>
    </row>
    <row r="13" spans="1:23" ht="23" customHeight="1" x14ac:dyDescent="0.2">
      <c r="B13" s="47"/>
      <c r="C13" s="330"/>
      <c r="D13" s="331"/>
      <c r="E13" s="332" t="s">
        <v>176</v>
      </c>
      <c r="F13" s="333" t="s">
        <v>177</v>
      </c>
      <c r="G13" s="334" t="s">
        <v>178</v>
      </c>
      <c r="H13" s="49"/>
      <c r="J13" s="409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2"/>
    </row>
    <row r="14" spans="1:23" ht="23" customHeight="1" x14ac:dyDescent="0.25">
      <c r="B14" s="47"/>
      <c r="C14" s="335"/>
      <c r="D14" s="67"/>
      <c r="E14" s="316">
        <f>ejercicio-2</f>
        <v>2018</v>
      </c>
      <c r="F14" s="323">
        <f>ejercicio-1</f>
        <v>2019</v>
      </c>
      <c r="G14" s="315">
        <f>ejercicio</f>
        <v>2020</v>
      </c>
      <c r="H14" s="49"/>
      <c r="J14" s="409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2"/>
    </row>
    <row r="15" spans="1:23" ht="23" customHeight="1" x14ac:dyDescent="0.2">
      <c r="B15" s="47"/>
      <c r="C15" s="336" t="s">
        <v>79</v>
      </c>
      <c r="D15" s="85" t="s">
        <v>80</v>
      </c>
      <c r="E15" s="129"/>
      <c r="F15" s="129"/>
      <c r="G15" s="129"/>
      <c r="H15" s="49"/>
      <c r="J15" s="409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2"/>
    </row>
    <row r="16" spans="1:23" ht="23" customHeight="1" x14ac:dyDescent="0.2">
      <c r="B16" s="47"/>
      <c r="C16" s="340" t="s">
        <v>81</v>
      </c>
      <c r="D16" s="69" t="s">
        <v>708</v>
      </c>
      <c r="E16" s="131">
        <f>SUM(E17:E19)</f>
        <v>129047.93999999999</v>
      </c>
      <c r="F16" s="131">
        <f>SUM(F17:F19)</f>
        <v>87329.99</v>
      </c>
      <c r="G16" s="131">
        <f>SUM(G17:G19)</f>
        <v>90000</v>
      </c>
      <c r="H16" s="49"/>
      <c r="J16" s="409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2"/>
    </row>
    <row r="17" spans="2:23" ht="23" customHeight="1" x14ac:dyDescent="0.2">
      <c r="B17" s="47"/>
      <c r="C17" s="342" t="s">
        <v>82</v>
      </c>
      <c r="D17" s="70" t="s">
        <v>83</v>
      </c>
      <c r="E17" s="450">
        <v>266.89999999999998</v>
      </c>
      <c r="F17" s="450">
        <v>415.88</v>
      </c>
      <c r="G17" s="450"/>
      <c r="H17" s="49"/>
      <c r="J17" s="409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2"/>
    </row>
    <row r="18" spans="2:23" ht="23" customHeight="1" x14ac:dyDescent="0.2">
      <c r="B18" s="47"/>
      <c r="C18" s="343" t="s">
        <v>84</v>
      </c>
      <c r="D18" s="71" t="s">
        <v>85</v>
      </c>
      <c r="E18" s="451">
        <v>128781.04</v>
      </c>
      <c r="F18" s="451">
        <v>86914.11</v>
      </c>
      <c r="G18" s="451">
        <v>90000</v>
      </c>
      <c r="H18" s="49"/>
      <c r="J18" s="409"/>
      <c r="K18" s="411"/>
      <c r="L18" s="411"/>
      <c r="M18" s="411"/>
      <c r="N18" s="411"/>
      <c r="O18" s="411"/>
      <c r="P18" s="411"/>
      <c r="Q18" s="411"/>
      <c r="R18" s="411"/>
      <c r="S18" s="411"/>
      <c r="T18" s="411"/>
      <c r="U18" s="411"/>
      <c r="V18" s="411"/>
      <c r="W18" s="412"/>
    </row>
    <row r="19" spans="2:23" ht="23" customHeight="1" x14ac:dyDescent="0.2">
      <c r="B19" s="47"/>
      <c r="C19" s="343" t="s">
        <v>86</v>
      </c>
      <c r="D19" s="71" t="s">
        <v>87</v>
      </c>
      <c r="E19" s="451"/>
      <c r="F19" s="451"/>
      <c r="G19" s="451"/>
      <c r="H19" s="49"/>
      <c r="J19" s="409"/>
      <c r="K19" s="411"/>
      <c r="L19" s="411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2"/>
    </row>
    <row r="20" spans="2:23" ht="23" customHeight="1" x14ac:dyDescent="0.2">
      <c r="B20" s="47"/>
      <c r="C20" s="340" t="s">
        <v>88</v>
      </c>
      <c r="D20" s="69" t="s">
        <v>89</v>
      </c>
      <c r="E20" s="452"/>
      <c r="F20" s="452"/>
      <c r="G20" s="452"/>
      <c r="H20" s="49"/>
      <c r="J20" s="409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2"/>
    </row>
    <row r="21" spans="2:23" ht="23" customHeight="1" x14ac:dyDescent="0.2">
      <c r="B21" s="47"/>
      <c r="C21" s="340" t="s">
        <v>90</v>
      </c>
      <c r="D21" s="69" t="s">
        <v>91</v>
      </c>
      <c r="E21" s="452"/>
      <c r="F21" s="452"/>
      <c r="G21" s="452"/>
      <c r="H21" s="49"/>
      <c r="J21" s="409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2"/>
    </row>
    <row r="22" spans="2:23" ht="23" customHeight="1" x14ac:dyDescent="0.2">
      <c r="B22" s="47"/>
      <c r="C22" s="340" t="s">
        <v>92</v>
      </c>
      <c r="D22" s="69" t="s">
        <v>93</v>
      </c>
      <c r="E22" s="131">
        <f>SUM(E23:E26)</f>
        <v>0</v>
      </c>
      <c r="F22" s="131">
        <f t="shared" ref="F22:G22" si="0">SUM(F23:F26)</f>
        <v>0</v>
      </c>
      <c r="G22" s="131">
        <f t="shared" si="0"/>
        <v>0</v>
      </c>
      <c r="H22" s="49"/>
      <c r="J22" s="409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2"/>
    </row>
    <row r="23" spans="2:23" ht="23" customHeight="1" x14ac:dyDescent="0.2">
      <c r="B23" s="47"/>
      <c r="C23" s="342" t="s">
        <v>82</v>
      </c>
      <c r="D23" s="70" t="s">
        <v>94</v>
      </c>
      <c r="E23" s="450"/>
      <c r="F23" s="450"/>
      <c r="G23" s="450"/>
      <c r="H23" s="49"/>
      <c r="J23" s="409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2"/>
    </row>
    <row r="24" spans="2:23" ht="23" customHeight="1" x14ac:dyDescent="0.2">
      <c r="B24" s="47"/>
      <c r="C24" s="343" t="s">
        <v>84</v>
      </c>
      <c r="D24" s="71" t="s">
        <v>95</v>
      </c>
      <c r="E24" s="451"/>
      <c r="F24" s="451"/>
      <c r="G24" s="451"/>
      <c r="H24" s="49"/>
      <c r="J24" s="409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2"/>
    </row>
    <row r="25" spans="2:23" ht="23" customHeight="1" x14ac:dyDescent="0.2">
      <c r="B25" s="47"/>
      <c r="C25" s="343" t="s">
        <v>86</v>
      </c>
      <c r="D25" s="71" t="s">
        <v>96</v>
      </c>
      <c r="E25" s="451"/>
      <c r="F25" s="451"/>
      <c r="G25" s="451"/>
      <c r="H25" s="49"/>
      <c r="J25" s="409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2"/>
    </row>
    <row r="26" spans="2:23" ht="23" customHeight="1" x14ac:dyDescent="0.2">
      <c r="B26" s="47"/>
      <c r="C26" s="343" t="s">
        <v>97</v>
      </c>
      <c r="D26" s="71" t="s">
        <v>98</v>
      </c>
      <c r="E26" s="451"/>
      <c r="F26" s="451"/>
      <c r="G26" s="451"/>
      <c r="H26" s="49"/>
      <c r="J26" s="409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2"/>
    </row>
    <row r="27" spans="2:23" ht="23" customHeight="1" x14ac:dyDescent="0.2">
      <c r="B27" s="47"/>
      <c r="C27" s="340" t="s">
        <v>99</v>
      </c>
      <c r="D27" s="69" t="s">
        <v>711</v>
      </c>
      <c r="E27" s="131">
        <f>SUM(E28:E29)</f>
        <v>2144644.83</v>
      </c>
      <c r="F27" s="131">
        <f t="shared" ref="F27:G27" si="1">SUM(F28:F29)</f>
        <v>2272847.0500000003</v>
      </c>
      <c r="G27" s="131">
        <f t="shared" si="1"/>
        <v>1726883.75</v>
      </c>
      <c r="H27" s="49"/>
      <c r="J27" s="409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2"/>
    </row>
    <row r="28" spans="2:23" ht="23" customHeight="1" x14ac:dyDescent="0.2">
      <c r="B28" s="47"/>
      <c r="C28" s="342" t="s">
        <v>82</v>
      </c>
      <c r="D28" s="70" t="s">
        <v>100</v>
      </c>
      <c r="E28" s="450">
        <v>109622.99</v>
      </c>
      <c r="F28" s="450">
        <v>62721.06</v>
      </c>
      <c r="G28" s="450">
        <f>78000+120000</f>
        <v>198000</v>
      </c>
      <c r="H28" s="49"/>
      <c r="J28" s="409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2"/>
    </row>
    <row r="29" spans="2:23" ht="23" customHeight="1" x14ac:dyDescent="0.2">
      <c r="B29" s="47"/>
      <c r="C29" s="343" t="s">
        <v>84</v>
      </c>
      <c r="D29" s="71" t="s">
        <v>101</v>
      </c>
      <c r="E29" s="451">
        <v>2035021.84</v>
      </c>
      <c r="F29" s="451">
        <f>2210125.99</f>
        <v>2210125.9900000002</v>
      </c>
      <c r="G29" s="451">
        <f>1558883.75-30000</f>
        <v>1528883.75</v>
      </c>
      <c r="H29" s="49"/>
      <c r="J29" s="409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2"/>
    </row>
    <row r="30" spans="2:23" ht="23" customHeight="1" x14ac:dyDescent="0.2">
      <c r="B30" s="47"/>
      <c r="C30" s="340" t="s">
        <v>102</v>
      </c>
      <c r="D30" s="69" t="s">
        <v>103</v>
      </c>
      <c r="E30" s="131">
        <f>SUM(E31:E33)</f>
        <v>-623639.65</v>
      </c>
      <c r="F30" s="131">
        <f t="shared" ref="F30:G30" si="2">SUM(F31:F33)</f>
        <v>-588185.05000000005</v>
      </c>
      <c r="G30" s="131">
        <f t="shared" si="2"/>
        <v>-700493.11</v>
      </c>
      <c r="H30" s="49"/>
      <c r="J30" s="419"/>
      <c r="K30" s="420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1"/>
    </row>
    <row r="31" spans="2:23" ht="23" customHeight="1" x14ac:dyDescent="0.2">
      <c r="B31" s="47"/>
      <c r="C31" s="342" t="s">
        <v>82</v>
      </c>
      <c r="D31" s="70" t="s">
        <v>104</v>
      </c>
      <c r="E31" s="450">
        <v>-494327.07</v>
      </c>
      <c r="F31" s="450">
        <v>-428709.06</v>
      </c>
      <c r="G31" s="450">
        <v>-537174.49</v>
      </c>
      <c r="H31" s="49"/>
      <c r="J31" s="419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1"/>
    </row>
    <row r="32" spans="2:23" ht="23" customHeight="1" x14ac:dyDescent="0.2">
      <c r="B32" s="47"/>
      <c r="C32" s="343" t="s">
        <v>84</v>
      </c>
      <c r="D32" s="71" t="s">
        <v>105</v>
      </c>
      <c r="E32" s="451">
        <v>-129312.58</v>
      </c>
      <c r="F32" s="451">
        <v>-159475.99</v>
      </c>
      <c r="G32" s="451">
        <v>-156762.29</v>
      </c>
      <c r="H32" s="49"/>
      <c r="J32" s="409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2"/>
    </row>
    <row r="33" spans="2:23" ht="23" customHeight="1" x14ac:dyDescent="0.2">
      <c r="B33" s="47"/>
      <c r="C33" s="343" t="s">
        <v>86</v>
      </c>
      <c r="D33" s="71" t="s">
        <v>106</v>
      </c>
      <c r="E33" s="451"/>
      <c r="F33" s="451"/>
      <c r="G33" s="451">
        <v>-6556.33</v>
      </c>
      <c r="H33" s="49"/>
      <c r="J33" s="409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2"/>
    </row>
    <row r="34" spans="2:23" ht="23" customHeight="1" x14ac:dyDescent="0.2">
      <c r="B34" s="47"/>
      <c r="C34" s="340" t="s">
        <v>107</v>
      </c>
      <c r="D34" s="69" t="s">
        <v>108</v>
      </c>
      <c r="E34" s="131">
        <f>SUM(E35:E39)</f>
        <v>-3207115.14</v>
      </c>
      <c r="F34" s="131">
        <f t="shared" ref="F34:G34" si="3">SUM(F35:F39)</f>
        <v>-2773846.1</v>
      </c>
      <c r="G34" s="131">
        <f t="shared" si="3"/>
        <v>-2523394.0499999998</v>
      </c>
      <c r="H34" s="49"/>
      <c r="J34" s="409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2"/>
    </row>
    <row r="35" spans="2:23" ht="23" customHeight="1" x14ac:dyDescent="0.2">
      <c r="B35" s="47"/>
      <c r="C35" s="342" t="s">
        <v>82</v>
      </c>
      <c r="D35" s="70" t="s">
        <v>109</v>
      </c>
      <c r="E35" s="450">
        <v>-3196390.04</v>
      </c>
      <c r="F35" s="450">
        <v>-2763631.72</v>
      </c>
      <c r="G35" s="450">
        <f>-2490665.8-52428.25+30000</f>
        <v>-2513094.0499999998</v>
      </c>
      <c r="H35" s="49"/>
      <c r="J35" s="409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2"/>
    </row>
    <row r="36" spans="2:23" ht="23" customHeight="1" x14ac:dyDescent="0.2">
      <c r="B36" s="47"/>
      <c r="C36" s="343" t="s">
        <v>84</v>
      </c>
      <c r="D36" s="71" t="s">
        <v>110</v>
      </c>
      <c r="E36" s="451">
        <v>-10725.1</v>
      </c>
      <c r="F36" s="451">
        <v>-10214.379999999999</v>
      </c>
      <c r="G36" s="451">
        <v>-10300</v>
      </c>
      <c r="H36" s="49"/>
      <c r="J36" s="422"/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4"/>
    </row>
    <row r="37" spans="2:23" ht="23" customHeight="1" x14ac:dyDescent="0.2">
      <c r="B37" s="47"/>
      <c r="C37" s="343" t="s">
        <v>86</v>
      </c>
      <c r="D37" s="71" t="s">
        <v>111</v>
      </c>
      <c r="E37" s="451"/>
      <c r="F37" s="451"/>
      <c r="G37" s="451"/>
      <c r="H37" s="49"/>
      <c r="J37" s="422"/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4"/>
    </row>
    <row r="38" spans="2:23" ht="23" customHeight="1" x14ac:dyDescent="0.2">
      <c r="B38" s="47"/>
      <c r="C38" s="343" t="s">
        <v>97</v>
      </c>
      <c r="D38" s="71" t="s">
        <v>112</v>
      </c>
      <c r="E38" s="451"/>
      <c r="F38" s="451"/>
      <c r="G38" s="451"/>
      <c r="H38" s="49"/>
      <c r="J38" s="422"/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4"/>
    </row>
    <row r="39" spans="2:23" ht="23" customHeight="1" x14ac:dyDescent="0.2">
      <c r="B39" s="47"/>
      <c r="C39" s="343" t="s">
        <v>113</v>
      </c>
      <c r="D39" s="71" t="s">
        <v>114</v>
      </c>
      <c r="E39" s="451"/>
      <c r="F39" s="451"/>
      <c r="G39" s="451"/>
      <c r="H39" s="49"/>
      <c r="J39" s="422"/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4"/>
    </row>
    <row r="40" spans="2:23" ht="23" customHeight="1" x14ac:dyDescent="0.2">
      <c r="B40" s="47"/>
      <c r="C40" s="340" t="s">
        <v>115</v>
      </c>
      <c r="D40" s="69" t="s">
        <v>116</v>
      </c>
      <c r="E40" s="452">
        <v>-25519.02</v>
      </c>
      <c r="F40" s="452">
        <v>-49183.199999999997</v>
      </c>
      <c r="G40" s="452">
        <v>-45106.33</v>
      </c>
      <c r="H40" s="49"/>
      <c r="J40" s="422"/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4"/>
    </row>
    <row r="41" spans="2:23" ht="23" customHeight="1" x14ac:dyDescent="0.2">
      <c r="B41" s="47"/>
      <c r="C41" s="340" t="s">
        <v>117</v>
      </c>
      <c r="D41" s="69" t="s">
        <v>118</v>
      </c>
      <c r="E41" s="452"/>
      <c r="F41" s="452">
        <v>22365.71</v>
      </c>
      <c r="G41" s="452">
        <v>18949.310000000001</v>
      </c>
      <c r="H41" s="49"/>
      <c r="J41" s="422"/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4"/>
    </row>
    <row r="42" spans="2:23" ht="23" customHeight="1" x14ac:dyDescent="0.2">
      <c r="B42" s="47"/>
      <c r="C42" s="340" t="s">
        <v>119</v>
      </c>
      <c r="D42" s="69" t="s">
        <v>120</v>
      </c>
      <c r="E42" s="452"/>
      <c r="F42" s="452"/>
      <c r="G42" s="452"/>
      <c r="H42" s="49"/>
      <c r="J42" s="422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4"/>
    </row>
    <row r="43" spans="2:23" ht="23" customHeight="1" x14ac:dyDescent="0.2">
      <c r="B43" s="47"/>
      <c r="C43" s="340" t="s">
        <v>121</v>
      </c>
      <c r="D43" s="69" t="s">
        <v>122</v>
      </c>
      <c r="E43" s="131">
        <f>SUM(E44:E46)</f>
        <v>0</v>
      </c>
      <c r="F43" s="131">
        <f t="shared" ref="F43:G43" si="4">SUM(F44:F46)</f>
        <v>0</v>
      </c>
      <c r="G43" s="131">
        <f t="shared" si="4"/>
        <v>0</v>
      </c>
      <c r="H43" s="49"/>
      <c r="J43" s="422"/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4"/>
    </row>
    <row r="44" spans="2:23" ht="23" customHeight="1" x14ac:dyDescent="0.2">
      <c r="B44" s="47"/>
      <c r="C44" s="342" t="s">
        <v>82</v>
      </c>
      <c r="D44" s="70" t="s">
        <v>123</v>
      </c>
      <c r="E44" s="450"/>
      <c r="F44" s="450"/>
      <c r="G44" s="450"/>
      <c r="H44" s="49"/>
      <c r="J44" s="422"/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4"/>
    </row>
    <row r="45" spans="2:23" ht="23" customHeight="1" x14ac:dyDescent="0.2">
      <c r="B45" s="47"/>
      <c r="C45" s="343" t="s">
        <v>84</v>
      </c>
      <c r="D45" s="71" t="s">
        <v>124</v>
      </c>
      <c r="E45" s="451"/>
      <c r="F45" s="451"/>
      <c r="G45" s="451"/>
      <c r="H45" s="49"/>
      <c r="J45" s="422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4"/>
    </row>
    <row r="46" spans="2:23" ht="23" customHeight="1" x14ac:dyDescent="0.2">
      <c r="B46" s="47"/>
      <c r="C46" s="343" t="s">
        <v>86</v>
      </c>
      <c r="D46" s="71" t="s">
        <v>125</v>
      </c>
      <c r="E46" s="451"/>
      <c r="F46" s="451"/>
      <c r="G46" s="451"/>
      <c r="H46" s="49"/>
      <c r="J46" s="422"/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4"/>
    </row>
    <row r="47" spans="2:23" ht="23" customHeight="1" x14ac:dyDescent="0.2">
      <c r="B47" s="47"/>
      <c r="C47" s="340" t="s">
        <v>126</v>
      </c>
      <c r="D47" s="69" t="s">
        <v>127</v>
      </c>
      <c r="E47" s="452"/>
      <c r="F47" s="452"/>
      <c r="G47" s="452"/>
      <c r="H47" s="49"/>
      <c r="J47" s="422"/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4"/>
    </row>
    <row r="48" spans="2:23" ht="23" customHeight="1" x14ac:dyDescent="0.2">
      <c r="B48" s="47"/>
      <c r="C48" s="340" t="s">
        <v>128</v>
      </c>
      <c r="D48" s="69" t="s">
        <v>712</v>
      </c>
      <c r="E48" s="452">
        <v>194404.11</v>
      </c>
      <c r="F48" s="452">
        <v>-66506.42</v>
      </c>
      <c r="G48" s="452"/>
      <c r="H48" s="49"/>
      <c r="J48" s="422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4"/>
    </row>
    <row r="49" spans="2:23" s="74" customFormat="1" ht="23" customHeight="1" thickBot="1" x14ac:dyDescent="0.25">
      <c r="B49" s="23"/>
      <c r="C49" s="349" t="s">
        <v>129</v>
      </c>
      <c r="D49" s="82" t="s">
        <v>130</v>
      </c>
      <c r="E49" s="357">
        <f>E16+E20+E21+E22+E27+E30+E34+E40+E41+E42+E43+E47+E48</f>
        <v>-1388176.9300000002</v>
      </c>
      <c r="F49" s="357">
        <f t="shared" ref="F49:G49" si="5">F16+F20+F21+F22+F27+F30+F34+F40+F41+F42+F43+F47+F48</f>
        <v>-1095178.0199999996</v>
      </c>
      <c r="G49" s="357">
        <f t="shared" si="5"/>
        <v>-1433160.4299999997</v>
      </c>
      <c r="H49" s="60"/>
      <c r="I49" s="41"/>
      <c r="J49" s="422"/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4"/>
    </row>
    <row r="50" spans="2:23" ht="23" customHeight="1" x14ac:dyDescent="0.2">
      <c r="B50" s="47"/>
      <c r="C50" s="350"/>
      <c r="D50" s="1"/>
      <c r="E50" s="129"/>
      <c r="F50" s="129"/>
      <c r="G50" s="129"/>
      <c r="H50" s="49"/>
      <c r="J50" s="422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4"/>
    </row>
    <row r="51" spans="2:23" ht="23" customHeight="1" x14ac:dyDescent="0.2">
      <c r="B51" s="47"/>
      <c r="C51" s="340" t="s">
        <v>131</v>
      </c>
      <c r="D51" s="69" t="s">
        <v>132</v>
      </c>
      <c r="E51" s="131">
        <f>E52+E55+E58</f>
        <v>0</v>
      </c>
      <c r="F51" s="131">
        <f t="shared" ref="F51:G51" si="6">F52+F55+F58</f>
        <v>0</v>
      </c>
      <c r="G51" s="131">
        <f t="shared" si="6"/>
        <v>0</v>
      </c>
      <c r="H51" s="49"/>
      <c r="J51" s="422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4"/>
    </row>
    <row r="52" spans="2:23" ht="23" customHeight="1" x14ac:dyDescent="0.2">
      <c r="B52" s="47"/>
      <c r="C52" s="342" t="s">
        <v>82</v>
      </c>
      <c r="D52" s="70" t="s">
        <v>133</v>
      </c>
      <c r="E52" s="132">
        <f>SUM(E53:E54)</f>
        <v>0</v>
      </c>
      <c r="F52" s="132">
        <f t="shared" ref="F52:G52" si="7">SUM(F53:F54)</f>
        <v>0</v>
      </c>
      <c r="G52" s="132">
        <f t="shared" si="7"/>
        <v>0</v>
      </c>
      <c r="H52" s="49"/>
      <c r="J52" s="422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4"/>
    </row>
    <row r="53" spans="2:23" ht="23" customHeight="1" x14ac:dyDescent="0.15">
      <c r="B53" s="47"/>
      <c r="C53" s="351" t="s">
        <v>134</v>
      </c>
      <c r="D53" s="77" t="s">
        <v>135</v>
      </c>
      <c r="E53" s="711"/>
      <c r="F53" s="711"/>
      <c r="G53" s="711"/>
      <c r="H53" s="49"/>
      <c r="J53" s="422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4"/>
    </row>
    <row r="54" spans="2:23" ht="23" customHeight="1" x14ac:dyDescent="0.15">
      <c r="B54" s="47"/>
      <c r="C54" s="351" t="s">
        <v>136</v>
      </c>
      <c r="D54" s="77" t="s">
        <v>137</v>
      </c>
      <c r="E54" s="711"/>
      <c r="F54" s="711"/>
      <c r="G54" s="711"/>
      <c r="H54" s="49"/>
      <c r="J54" s="422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4"/>
    </row>
    <row r="55" spans="2:23" ht="23" customHeight="1" x14ac:dyDescent="0.2">
      <c r="B55" s="47"/>
      <c r="C55" s="352" t="s">
        <v>84</v>
      </c>
      <c r="D55" s="72" t="s">
        <v>138</v>
      </c>
      <c r="E55" s="358">
        <f>SUM(E56:E57)</f>
        <v>0</v>
      </c>
      <c r="F55" s="358">
        <f t="shared" ref="F55:G55" si="8">SUM(F56:F57)</f>
        <v>0</v>
      </c>
      <c r="G55" s="358">
        <f t="shared" si="8"/>
        <v>0</v>
      </c>
      <c r="H55" s="49"/>
      <c r="J55" s="422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4"/>
    </row>
    <row r="56" spans="2:23" ht="23" customHeight="1" x14ac:dyDescent="0.15">
      <c r="B56" s="47"/>
      <c r="C56" s="351" t="s">
        <v>139</v>
      </c>
      <c r="D56" s="77" t="s">
        <v>140</v>
      </c>
      <c r="E56" s="711"/>
      <c r="F56" s="711"/>
      <c r="G56" s="711"/>
      <c r="H56" s="49"/>
      <c r="J56" s="422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4"/>
    </row>
    <row r="57" spans="2:23" ht="23" customHeight="1" x14ac:dyDescent="0.15">
      <c r="B57" s="47"/>
      <c r="C57" s="351" t="s">
        <v>141</v>
      </c>
      <c r="D57" s="77" t="s">
        <v>142</v>
      </c>
      <c r="E57" s="711"/>
      <c r="F57" s="711"/>
      <c r="G57" s="711"/>
      <c r="H57" s="49"/>
      <c r="J57" s="422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4"/>
    </row>
    <row r="58" spans="2:23" ht="23" customHeight="1" x14ac:dyDescent="0.2">
      <c r="B58" s="47"/>
      <c r="C58" s="352" t="s">
        <v>86</v>
      </c>
      <c r="D58" s="72" t="s">
        <v>143</v>
      </c>
      <c r="E58" s="453"/>
      <c r="F58" s="453"/>
      <c r="G58" s="453"/>
      <c r="H58" s="49"/>
      <c r="J58" s="422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4"/>
    </row>
    <row r="59" spans="2:23" ht="23" customHeight="1" x14ac:dyDescent="0.2">
      <c r="B59" s="47"/>
      <c r="C59" s="340" t="s">
        <v>144</v>
      </c>
      <c r="D59" s="69" t="s">
        <v>145</v>
      </c>
      <c r="E59" s="131">
        <f>SUM(E60:E62)</f>
        <v>0</v>
      </c>
      <c r="F59" s="131">
        <f t="shared" ref="F59:G59" si="9">SUM(F60:F62)</f>
        <v>0</v>
      </c>
      <c r="G59" s="131">
        <f t="shared" si="9"/>
        <v>0</v>
      </c>
      <c r="H59" s="49"/>
      <c r="J59" s="422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4"/>
    </row>
    <row r="60" spans="2:23" ht="23" customHeight="1" x14ac:dyDescent="0.2">
      <c r="B60" s="47"/>
      <c r="C60" s="352" t="s">
        <v>82</v>
      </c>
      <c r="D60" s="72" t="s">
        <v>146</v>
      </c>
      <c r="E60" s="453"/>
      <c r="F60" s="453"/>
      <c r="G60" s="453"/>
      <c r="H60" s="49"/>
      <c r="J60" s="422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4"/>
    </row>
    <row r="61" spans="2:23" ht="23" customHeight="1" x14ac:dyDescent="0.2">
      <c r="B61" s="47"/>
      <c r="C61" s="352" t="s">
        <v>84</v>
      </c>
      <c r="D61" s="72" t="s">
        <v>147</v>
      </c>
      <c r="E61" s="453"/>
      <c r="F61" s="453"/>
      <c r="G61" s="453"/>
      <c r="H61" s="49"/>
      <c r="J61" s="422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4"/>
    </row>
    <row r="62" spans="2:23" ht="23" customHeight="1" x14ac:dyDescent="0.2">
      <c r="B62" s="47"/>
      <c r="C62" s="352" t="s">
        <v>86</v>
      </c>
      <c r="D62" s="72" t="s">
        <v>148</v>
      </c>
      <c r="E62" s="453"/>
      <c r="F62" s="453"/>
      <c r="G62" s="453"/>
      <c r="H62" s="49"/>
      <c r="J62" s="422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4"/>
    </row>
    <row r="63" spans="2:23" ht="23" customHeight="1" x14ac:dyDescent="0.2">
      <c r="B63" s="47"/>
      <c r="C63" s="340" t="s">
        <v>149</v>
      </c>
      <c r="D63" s="69" t="s">
        <v>150</v>
      </c>
      <c r="E63" s="131">
        <f>SUM(E64:E65)</f>
        <v>0</v>
      </c>
      <c r="F63" s="131">
        <f t="shared" ref="F63:G63" si="10">SUM(F64:F65)</f>
        <v>0</v>
      </c>
      <c r="G63" s="131">
        <f t="shared" si="10"/>
        <v>0</v>
      </c>
      <c r="H63" s="49"/>
      <c r="J63" s="422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4"/>
    </row>
    <row r="64" spans="2:23" ht="23" customHeight="1" x14ac:dyDescent="0.2">
      <c r="B64" s="47"/>
      <c r="C64" s="352" t="s">
        <v>82</v>
      </c>
      <c r="D64" s="72" t="s">
        <v>151</v>
      </c>
      <c r="E64" s="453"/>
      <c r="F64" s="453"/>
      <c r="G64" s="453"/>
      <c r="H64" s="49"/>
      <c r="J64" s="422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4"/>
    </row>
    <row r="65" spans="2:23" ht="23" customHeight="1" x14ac:dyDescent="0.2">
      <c r="B65" s="47"/>
      <c r="C65" s="352" t="s">
        <v>84</v>
      </c>
      <c r="D65" s="72" t="s">
        <v>152</v>
      </c>
      <c r="E65" s="453"/>
      <c r="F65" s="453"/>
      <c r="G65" s="453"/>
      <c r="H65" s="49"/>
      <c r="J65" s="422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4"/>
    </row>
    <row r="66" spans="2:23" ht="23" customHeight="1" x14ac:dyDescent="0.2">
      <c r="B66" s="47"/>
      <c r="C66" s="340" t="s">
        <v>153</v>
      </c>
      <c r="D66" s="69" t="s">
        <v>154</v>
      </c>
      <c r="E66" s="131">
        <v>0</v>
      </c>
      <c r="F66" s="131">
        <v>0</v>
      </c>
      <c r="G66" s="131">
        <v>0</v>
      </c>
      <c r="H66" s="49"/>
      <c r="J66" s="422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4"/>
    </row>
    <row r="67" spans="2:23" ht="23" customHeight="1" x14ac:dyDescent="0.2">
      <c r="B67" s="47"/>
      <c r="C67" s="340" t="s">
        <v>155</v>
      </c>
      <c r="D67" s="69" t="s">
        <v>156</v>
      </c>
      <c r="E67" s="131">
        <f>SUM(E68:E69)</f>
        <v>0</v>
      </c>
      <c r="F67" s="131">
        <f t="shared" ref="F67:G67" si="11">SUM(F68:F69)</f>
        <v>0</v>
      </c>
      <c r="G67" s="131">
        <f t="shared" si="11"/>
        <v>0</v>
      </c>
      <c r="H67" s="49"/>
      <c r="J67" s="422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4"/>
    </row>
    <row r="68" spans="2:23" ht="23" customHeight="1" x14ac:dyDescent="0.2">
      <c r="B68" s="47"/>
      <c r="C68" s="352" t="s">
        <v>82</v>
      </c>
      <c r="D68" s="72" t="s">
        <v>157</v>
      </c>
      <c r="E68" s="453"/>
      <c r="F68" s="453"/>
      <c r="G68" s="453"/>
      <c r="H68" s="49"/>
      <c r="J68" s="422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4"/>
    </row>
    <row r="69" spans="2:23" ht="23" customHeight="1" x14ac:dyDescent="0.2">
      <c r="B69" s="47"/>
      <c r="C69" s="352" t="s">
        <v>84</v>
      </c>
      <c r="D69" s="72" t="s">
        <v>124</v>
      </c>
      <c r="E69" s="453"/>
      <c r="F69" s="453"/>
      <c r="G69" s="453"/>
      <c r="H69" s="49"/>
      <c r="J69" s="422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4"/>
    </row>
    <row r="70" spans="2:23" ht="23" customHeight="1" x14ac:dyDescent="0.2">
      <c r="B70" s="47"/>
      <c r="C70" s="340" t="s">
        <v>158</v>
      </c>
      <c r="D70" s="69" t="s">
        <v>159</v>
      </c>
      <c r="E70" s="131">
        <f>SUM(E71:E73)</f>
        <v>0</v>
      </c>
      <c r="F70" s="131">
        <f t="shared" ref="F70:G70" si="12">SUM(F71:F73)</f>
        <v>0</v>
      </c>
      <c r="G70" s="131">
        <f t="shared" si="12"/>
        <v>0</v>
      </c>
      <c r="H70" s="49"/>
      <c r="J70" s="422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4"/>
    </row>
    <row r="71" spans="2:23" ht="23" customHeight="1" x14ac:dyDescent="0.2">
      <c r="B71" s="47"/>
      <c r="C71" s="352" t="s">
        <v>82</v>
      </c>
      <c r="D71" s="72" t="s">
        <v>160</v>
      </c>
      <c r="E71" s="453"/>
      <c r="F71" s="453"/>
      <c r="G71" s="453"/>
      <c r="H71" s="49"/>
      <c r="J71" s="422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4"/>
    </row>
    <row r="72" spans="2:23" ht="23" customHeight="1" x14ac:dyDescent="0.2">
      <c r="B72" s="47"/>
      <c r="C72" s="352" t="s">
        <v>84</v>
      </c>
      <c r="D72" s="72" t="s">
        <v>161</v>
      </c>
      <c r="E72" s="453"/>
      <c r="F72" s="453"/>
      <c r="G72" s="453"/>
      <c r="H72" s="49"/>
      <c r="J72" s="422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4"/>
    </row>
    <row r="73" spans="2:23" ht="23" customHeight="1" x14ac:dyDescent="0.2">
      <c r="B73" s="47"/>
      <c r="C73" s="352" t="s">
        <v>86</v>
      </c>
      <c r="D73" s="72" t="s">
        <v>162</v>
      </c>
      <c r="E73" s="453"/>
      <c r="F73" s="453">
        <v>0</v>
      </c>
      <c r="G73" s="453"/>
      <c r="H73" s="49"/>
      <c r="J73" s="422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4"/>
    </row>
    <row r="74" spans="2:23" s="74" customFormat="1" ht="23" customHeight="1" thickBot="1" x14ac:dyDescent="0.25">
      <c r="B74" s="23"/>
      <c r="C74" s="353" t="s">
        <v>163</v>
      </c>
      <c r="D74" s="73" t="s">
        <v>164</v>
      </c>
      <c r="E74" s="357">
        <f>E51+E59+E63+E66+E67+E70</f>
        <v>0</v>
      </c>
      <c r="F74" s="357">
        <f>F51+F59+F63+F66+F67+F70</f>
        <v>0</v>
      </c>
      <c r="G74" s="357">
        <f>G51+G59+G63+G66+G67+G70</f>
        <v>0</v>
      </c>
      <c r="H74" s="60"/>
      <c r="J74" s="422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4"/>
    </row>
    <row r="75" spans="2:23" ht="23" customHeight="1" x14ac:dyDescent="0.2">
      <c r="B75" s="47"/>
      <c r="C75" s="354"/>
      <c r="D75" s="76"/>
      <c r="E75" s="359"/>
      <c r="F75" s="359"/>
      <c r="G75" s="359"/>
      <c r="H75" s="49"/>
      <c r="J75" s="422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4"/>
    </row>
    <row r="76" spans="2:23" s="74" customFormat="1" ht="23" customHeight="1" thickBot="1" x14ac:dyDescent="0.25">
      <c r="B76" s="23"/>
      <c r="C76" s="355" t="s">
        <v>165</v>
      </c>
      <c r="D76" s="75" t="s">
        <v>166</v>
      </c>
      <c r="E76" s="360">
        <f>E74+E49</f>
        <v>-1388176.9300000002</v>
      </c>
      <c r="F76" s="360">
        <f t="shared" ref="F76:G76" si="13">F74+F49</f>
        <v>-1095178.0199999996</v>
      </c>
      <c r="G76" s="360">
        <f t="shared" si="13"/>
        <v>-1433160.4299999997</v>
      </c>
      <c r="H76" s="60"/>
      <c r="J76" s="422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4"/>
    </row>
    <row r="77" spans="2:23" ht="23" customHeight="1" x14ac:dyDescent="0.2">
      <c r="B77" s="47"/>
      <c r="C77" s="340" t="s">
        <v>167</v>
      </c>
      <c r="D77" s="69" t="s">
        <v>168</v>
      </c>
      <c r="E77" s="452"/>
      <c r="F77" s="452">
        <v>-303893.90999999997</v>
      </c>
      <c r="G77" s="452"/>
      <c r="H77" s="49"/>
      <c r="J77" s="422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4"/>
    </row>
    <row r="78" spans="2:23" ht="23" customHeight="1" x14ac:dyDescent="0.2">
      <c r="B78" s="47"/>
      <c r="C78" s="345"/>
      <c r="D78" s="63"/>
      <c r="E78" s="129"/>
      <c r="F78" s="129"/>
      <c r="G78" s="129"/>
      <c r="H78" s="49"/>
      <c r="J78" s="422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4"/>
    </row>
    <row r="79" spans="2:23" s="74" customFormat="1" ht="23" customHeight="1" thickBot="1" x14ac:dyDescent="0.25">
      <c r="B79" s="23"/>
      <c r="C79" s="355" t="s">
        <v>169</v>
      </c>
      <c r="D79" s="75" t="s">
        <v>179</v>
      </c>
      <c r="E79" s="360">
        <f>E76+E77</f>
        <v>-1388176.9300000002</v>
      </c>
      <c r="F79" s="360">
        <f>F76+F77</f>
        <v>-1399071.9299999995</v>
      </c>
      <c r="G79" s="360">
        <f>G76+G77</f>
        <v>-1433160.4299999997</v>
      </c>
      <c r="H79" s="60"/>
      <c r="J79" s="422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4"/>
    </row>
    <row r="80" spans="2:23" ht="23" customHeight="1" x14ac:dyDescent="0.2">
      <c r="B80" s="47"/>
      <c r="C80" s="345"/>
      <c r="D80" s="63"/>
      <c r="E80" s="129"/>
      <c r="F80" s="129"/>
      <c r="G80" s="129"/>
      <c r="H80" s="49"/>
      <c r="J80" s="422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4"/>
    </row>
    <row r="81" spans="2:23" ht="23" customHeight="1" x14ac:dyDescent="0.2">
      <c r="B81" s="47"/>
      <c r="C81" s="336" t="s">
        <v>170</v>
      </c>
      <c r="D81" s="85" t="s">
        <v>171</v>
      </c>
      <c r="E81" s="129"/>
      <c r="F81" s="129"/>
      <c r="G81" s="129"/>
      <c r="H81" s="49"/>
      <c r="J81" s="422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4"/>
    </row>
    <row r="82" spans="2:23" ht="23" customHeight="1" x14ac:dyDescent="0.2">
      <c r="B82" s="47"/>
      <c r="C82" s="340" t="s">
        <v>172</v>
      </c>
      <c r="D82" s="69" t="s">
        <v>173</v>
      </c>
      <c r="E82" s="452"/>
      <c r="F82" s="452"/>
      <c r="G82" s="452"/>
      <c r="H82" s="49"/>
      <c r="J82" s="422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4"/>
    </row>
    <row r="83" spans="2:23" ht="23" customHeight="1" x14ac:dyDescent="0.2">
      <c r="B83" s="47"/>
      <c r="C83" s="345"/>
      <c r="D83" s="63"/>
      <c r="E83" s="129"/>
      <c r="F83" s="129"/>
      <c r="G83" s="129"/>
      <c r="H83" s="49"/>
      <c r="J83" s="422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4"/>
    </row>
    <row r="84" spans="2:23" s="74" customFormat="1" ht="23" customHeight="1" thickBot="1" x14ac:dyDescent="0.25">
      <c r="B84" s="23"/>
      <c r="C84" s="356" t="s">
        <v>174</v>
      </c>
      <c r="D84" s="78" t="s">
        <v>175</v>
      </c>
      <c r="E84" s="135">
        <f>E79+E82</f>
        <v>-1388176.9300000002</v>
      </c>
      <c r="F84" s="135">
        <f t="shared" ref="F84:G84" si="14">F79+F82</f>
        <v>-1399071.9299999995</v>
      </c>
      <c r="G84" s="135">
        <f t="shared" si="14"/>
        <v>-1433160.4299999997</v>
      </c>
      <c r="H84" s="60"/>
      <c r="J84" s="422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4"/>
    </row>
    <row r="85" spans="2:23" ht="23" customHeight="1" x14ac:dyDescent="0.15">
      <c r="B85" s="47"/>
      <c r="C85" s="43"/>
      <c r="D85" s="43"/>
      <c r="E85" s="43"/>
      <c r="F85" s="43"/>
      <c r="G85" s="43"/>
      <c r="H85" s="49"/>
      <c r="J85" s="422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4"/>
    </row>
    <row r="86" spans="2:23" ht="23" customHeight="1" thickBot="1" x14ac:dyDescent="0.2">
      <c r="B86" s="51"/>
      <c r="C86" s="1375"/>
      <c r="D86" s="1375"/>
      <c r="E86" s="1375"/>
      <c r="F86" s="1375"/>
      <c r="G86" s="53"/>
      <c r="H86" s="54"/>
      <c r="J86" s="425"/>
      <c r="K86" s="426"/>
      <c r="L86" s="426"/>
      <c r="M86" s="426"/>
      <c r="N86" s="426"/>
      <c r="O86" s="426"/>
      <c r="P86" s="426"/>
      <c r="Q86" s="426"/>
      <c r="R86" s="426"/>
      <c r="S86" s="426"/>
      <c r="T86" s="426"/>
      <c r="U86" s="426"/>
      <c r="V86" s="426"/>
      <c r="W86" s="427"/>
    </row>
    <row r="87" spans="2:23" ht="23" customHeight="1" x14ac:dyDescent="0.15">
      <c r="C87" s="43"/>
      <c r="D87" s="43"/>
      <c r="E87" s="43"/>
      <c r="F87" s="43"/>
      <c r="G87" s="43"/>
      <c r="I87" s="41" t="s">
        <v>936</v>
      </c>
    </row>
    <row r="88" spans="2:23" ht="13" x14ac:dyDescent="0.15">
      <c r="C88" s="36" t="s">
        <v>70</v>
      </c>
      <c r="D88" s="43"/>
      <c r="E88" s="43"/>
      <c r="F88" s="43"/>
      <c r="G88" s="40" t="s">
        <v>40</v>
      </c>
    </row>
    <row r="89" spans="2:23" ht="13" x14ac:dyDescent="0.15">
      <c r="C89" s="37" t="s">
        <v>71</v>
      </c>
      <c r="D89" s="43"/>
      <c r="E89" s="43"/>
      <c r="F89" s="43"/>
      <c r="G89" s="43"/>
    </row>
    <row r="90" spans="2:23" ht="13" x14ac:dyDescent="0.15">
      <c r="C90" s="37" t="s">
        <v>72</v>
      </c>
      <c r="D90" s="43"/>
      <c r="E90" s="43"/>
      <c r="F90" s="43"/>
      <c r="G90" s="43"/>
    </row>
    <row r="91" spans="2:23" ht="13" x14ac:dyDescent="0.15">
      <c r="C91" s="37" t="s">
        <v>73</v>
      </c>
      <c r="D91" s="43"/>
      <c r="E91" s="43"/>
      <c r="F91" s="43"/>
      <c r="G91" s="43"/>
    </row>
    <row r="92" spans="2:23" ht="13" x14ac:dyDescent="0.15">
      <c r="C92" s="37" t="s">
        <v>74</v>
      </c>
      <c r="D92" s="43"/>
      <c r="E92" s="43"/>
      <c r="F92" s="43"/>
      <c r="G92" s="43"/>
    </row>
    <row r="93" spans="2:23" ht="23" customHeight="1" x14ac:dyDescent="0.15">
      <c r="C93" s="43"/>
      <c r="D93" s="43"/>
      <c r="E93" s="43"/>
      <c r="F93" s="43"/>
      <c r="G93" s="43"/>
    </row>
    <row r="94" spans="2:23" ht="23" customHeight="1" x14ac:dyDescent="0.15">
      <c r="C94" s="43"/>
      <c r="D94" s="43"/>
      <c r="E94" s="43"/>
      <c r="F94" s="43"/>
      <c r="G94" s="43"/>
    </row>
    <row r="95" spans="2:23" ht="23" customHeight="1" x14ac:dyDescent="0.15">
      <c r="C95" s="43"/>
      <c r="D95" s="43"/>
      <c r="E95" s="43"/>
      <c r="F95" s="43"/>
      <c r="G95" s="43"/>
    </row>
    <row r="96" spans="2:23" ht="23" customHeight="1" x14ac:dyDescent="0.15">
      <c r="C96" s="43"/>
      <c r="D96" s="43"/>
      <c r="E96" s="43"/>
      <c r="F96" s="43"/>
      <c r="G96" s="43"/>
    </row>
    <row r="97" spans="6:7" ht="23" customHeight="1" x14ac:dyDescent="0.15">
      <c r="F97" s="43"/>
      <c r="G97" s="43"/>
    </row>
  </sheetData>
  <sheetProtection sheet="1" objects="1" scenarios="1"/>
  <mergeCells count="3">
    <mergeCell ref="C86:F86"/>
    <mergeCell ref="G6:G7"/>
    <mergeCell ref="D9:G9"/>
  </mergeCells>
  <phoneticPr fontId="22" type="noConversion"/>
  <printOptions horizontalCentered="1" verticalCentered="1"/>
  <pageMargins left="0.36000000000000004" right="0.36000000000000004" top="0.6100000000000001" bottom="0.6100000000000001" header="0.5" footer="0.5"/>
  <pageSetup paperSize="9" scale="36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51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C107"/>
  <sheetViews>
    <sheetView topLeftCell="A41" zoomScale="93" zoomScaleNormal="125" zoomScalePageLayoutView="125" workbookViewId="0">
      <selection activeCell="E73" sqref="E73"/>
    </sheetView>
  </sheetViews>
  <sheetFormatPr baseColWidth="10" defaultColWidth="10.7109375" defaultRowHeight="23" customHeight="1" x14ac:dyDescent="0.15"/>
  <cols>
    <col min="1" max="1" width="4.28515625" style="615" bestFit="1" customWidth="1"/>
    <col min="2" max="2" width="3.28515625" style="615" customWidth="1"/>
    <col min="3" max="3" width="13.5703125" style="615" customWidth="1"/>
    <col min="4" max="4" width="42.42578125" style="615" customWidth="1"/>
    <col min="5" max="6" width="15.7109375" style="617" customWidth="1"/>
    <col min="7" max="7" width="31" style="617" customWidth="1"/>
    <col min="8" max="8" width="15.5703125" style="617" customWidth="1"/>
    <col min="9" max="9" width="16.7109375" style="617" customWidth="1"/>
    <col min="10" max="10" width="30.5703125" style="617" customWidth="1"/>
    <col min="11" max="12" width="15.7109375" style="617" customWidth="1"/>
    <col min="13" max="13" width="27.28515625" style="617" customWidth="1"/>
    <col min="14" max="14" width="3.28515625" style="615" customWidth="1"/>
    <col min="15" max="16384" width="10.7109375" style="615"/>
  </cols>
  <sheetData>
    <row r="2" spans="1:29" ht="23" customHeight="1" x14ac:dyDescent="0.15">
      <c r="D2" s="311" t="str">
        <f>_GENERAL!D2</f>
        <v>Área de Presidencia, Hacienda y Modernización</v>
      </c>
    </row>
    <row r="3" spans="1:29" ht="23" customHeight="1" x14ac:dyDescent="0.15">
      <c r="D3" s="311" t="str">
        <f>_GENERAL!D3</f>
        <v>Dirección Insular de Hacienda</v>
      </c>
    </row>
    <row r="4" spans="1:29" ht="23" customHeight="1" thickBot="1" x14ac:dyDescent="0.2">
      <c r="A4" s="615" t="s">
        <v>935</v>
      </c>
    </row>
    <row r="5" spans="1:29" ht="9" customHeight="1" x14ac:dyDescent="0.15">
      <c r="B5" s="618"/>
      <c r="C5" s="619"/>
      <c r="D5" s="619"/>
      <c r="E5" s="620"/>
      <c r="F5" s="620"/>
      <c r="G5" s="620"/>
      <c r="H5" s="620"/>
      <c r="I5" s="620"/>
      <c r="J5" s="620"/>
      <c r="K5" s="620"/>
      <c r="L5" s="620"/>
      <c r="M5" s="620"/>
      <c r="N5" s="621"/>
      <c r="P5" s="406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8"/>
    </row>
    <row r="6" spans="1:29" ht="30" customHeight="1" x14ac:dyDescent="0.2">
      <c r="B6" s="622"/>
      <c r="C6" s="623" t="s">
        <v>0</v>
      </c>
      <c r="D6" s="624"/>
      <c r="E6" s="625"/>
      <c r="F6" s="625"/>
      <c r="G6" s="625"/>
      <c r="H6" s="625"/>
      <c r="I6" s="625"/>
      <c r="J6" s="625"/>
      <c r="K6" s="625"/>
      <c r="L6" s="625"/>
      <c r="M6" s="1368">
        <f>ejercicio</f>
        <v>2020</v>
      </c>
      <c r="N6" s="626"/>
      <c r="P6" s="409"/>
      <c r="Q6" s="410" t="s">
        <v>677</v>
      </c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2"/>
    </row>
    <row r="7" spans="1:29" ht="30" customHeight="1" x14ac:dyDescent="0.2">
      <c r="B7" s="622"/>
      <c r="C7" s="623" t="s">
        <v>1</v>
      </c>
      <c r="D7" s="624"/>
      <c r="E7" s="625"/>
      <c r="F7" s="625"/>
      <c r="G7" s="625"/>
      <c r="H7" s="625"/>
      <c r="I7" s="625"/>
      <c r="J7" s="625"/>
      <c r="K7" s="625"/>
      <c r="L7" s="625"/>
      <c r="M7" s="1368"/>
      <c r="N7" s="627"/>
      <c r="P7" s="409"/>
      <c r="Q7" s="411"/>
      <c r="R7" s="411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2"/>
    </row>
    <row r="8" spans="1:29" ht="30" customHeight="1" x14ac:dyDescent="0.2">
      <c r="B8" s="622"/>
      <c r="C8" s="628"/>
      <c r="D8" s="624"/>
      <c r="E8" s="625"/>
      <c r="F8" s="625"/>
      <c r="G8" s="625"/>
      <c r="H8" s="625"/>
      <c r="I8" s="625"/>
      <c r="J8" s="625"/>
      <c r="K8" s="625"/>
      <c r="L8" s="625"/>
      <c r="M8" s="625"/>
      <c r="N8" s="627"/>
      <c r="P8" s="409"/>
      <c r="Q8" s="411"/>
      <c r="R8" s="411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2"/>
    </row>
    <row r="9" spans="1:29" s="631" customFormat="1" ht="30" customHeight="1" x14ac:dyDescent="0.2">
      <c r="B9" s="629"/>
      <c r="C9" s="630" t="s">
        <v>2</v>
      </c>
      <c r="D9" s="1370" t="str">
        <f>Entidad</f>
        <v>TEA Tenerife Espacio de las Artes, Entidad Pública Empresarial Local</v>
      </c>
      <c r="E9" s="1370"/>
      <c r="F9" s="1370"/>
      <c r="G9" s="1370"/>
      <c r="H9" s="1370"/>
      <c r="I9" s="1370"/>
      <c r="J9" s="1370"/>
      <c r="K9" s="1370"/>
      <c r="L9" s="1370"/>
      <c r="M9" s="1370"/>
      <c r="N9" s="627"/>
      <c r="P9" s="413"/>
      <c r="Q9" s="414"/>
      <c r="R9" s="414"/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5"/>
    </row>
    <row r="10" spans="1:29" ht="7.25" customHeight="1" x14ac:dyDescent="0.2">
      <c r="B10" s="622"/>
      <c r="C10" s="624"/>
      <c r="D10" s="624"/>
      <c r="E10" s="625"/>
      <c r="F10" s="625"/>
      <c r="G10" s="625"/>
      <c r="H10" s="625"/>
      <c r="I10" s="625"/>
      <c r="J10" s="625"/>
      <c r="K10" s="625"/>
      <c r="L10" s="625"/>
      <c r="M10" s="625"/>
      <c r="N10" s="627"/>
      <c r="P10" s="409"/>
      <c r="Q10" s="411"/>
      <c r="R10" s="411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2"/>
    </row>
    <row r="11" spans="1:29" s="635" customFormat="1" ht="30" customHeight="1" x14ac:dyDescent="0.2">
      <c r="B11" s="632"/>
      <c r="C11" s="633" t="s">
        <v>629</v>
      </c>
      <c r="D11" s="633"/>
      <c r="E11" s="634"/>
      <c r="F11" s="634"/>
      <c r="G11" s="634"/>
      <c r="H11" s="634"/>
      <c r="I11" s="634"/>
      <c r="J11" s="634"/>
      <c r="K11" s="634"/>
      <c r="L11" s="634"/>
      <c r="M11" s="634"/>
      <c r="N11" s="627"/>
      <c r="P11" s="416"/>
      <c r="Q11" s="417"/>
      <c r="R11" s="417"/>
      <c r="S11" s="417"/>
      <c r="T11" s="417"/>
      <c r="U11" s="417"/>
      <c r="V11" s="417"/>
      <c r="W11" s="417"/>
      <c r="X11" s="417"/>
      <c r="Y11" s="417"/>
      <c r="Z11" s="417"/>
      <c r="AA11" s="417"/>
      <c r="AB11" s="417"/>
      <c r="AC11" s="418"/>
    </row>
    <row r="12" spans="1:29" s="635" customFormat="1" ht="30" customHeight="1" x14ac:dyDescent="0.2">
      <c r="B12" s="632"/>
      <c r="C12" s="1383"/>
      <c r="D12" s="1383"/>
      <c r="E12" s="636"/>
      <c r="F12" s="636"/>
      <c r="G12" s="636"/>
      <c r="H12" s="636"/>
      <c r="I12" s="636"/>
      <c r="J12" s="636"/>
      <c r="K12" s="636"/>
      <c r="L12" s="636"/>
      <c r="M12" s="636"/>
      <c r="N12" s="627"/>
      <c r="P12" s="416"/>
      <c r="Q12" s="417"/>
      <c r="R12" s="417"/>
      <c r="S12" s="417"/>
      <c r="T12" s="417"/>
      <c r="U12" s="417"/>
      <c r="V12" s="417"/>
      <c r="W12" s="417"/>
      <c r="X12" s="417"/>
      <c r="Y12" s="417"/>
      <c r="Z12" s="417"/>
      <c r="AA12" s="417"/>
      <c r="AB12" s="417"/>
      <c r="AC12" s="418"/>
    </row>
    <row r="13" spans="1:29" s="635" customFormat="1" ht="30" customHeight="1" x14ac:dyDescent="0.2">
      <c r="B13" s="632"/>
      <c r="D13" s="637"/>
      <c r="E13" s="636"/>
      <c r="F13" s="636"/>
      <c r="G13" s="636"/>
      <c r="H13" s="636"/>
      <c r="I13" s="636"/>
      <c r="J13" s="636"/>
      <c r="K13" s="636"/>
      <c r="L13" s="636"/>
      <c r="M13" s="636"/>
      <c r="N13" s="627"/>
      <c r="P13" s="409"/>
      <c r="Q13" s="411"/>
      <c r="R13" s="411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2"/>
    </row>
    <row r="14" spans="1:29" s="645" customFormat="1" ht="23" customHeight="1" x14ac:dyDescent="0.2">
      <c r="B14" s="638"/>
      <c r="C14" s="639"/>
      <c r="D14" s="640"/>
      <c r="E14" s="641"/>
      <c r="F14" s="642" t="s">
        <v>176</v>
      </c>
      <c r="G14" s="643">
        <f>ejercicio-2</f>
        <v>2018</v>
      </c>
      <c r="H14" s="641"/>
      <c r="I14" s="644" t="s">
        <v>177</v>
      </c>
      <c r="J14" s="643">
        <f>ejercicio-1</f>
        <v>2019</v>
      </c>
      <c r="K14" s="641"/>
      <c r="L14" s="642" t="s">
        <v>178</v>
      </c>
      <c r="M14" s="643">
        <f>ejercicio</f>
        <v>2020</v>
      </c>
      <c r="N14" s="627"/>
      <c r="P14" s="409"/>
      <c r="Q14" s="411"/>
      <c r="R14" s="411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2"/>
    </row>
    <row r="15" spans="1:29" s="650" customFormat="1" ht="23" customHeight="1" x14ac:dyDescent="0.2">
      <c r="B15" s="646"/>
      <c r="C15" s="647" t="s">
        <v>646</v>
      </c>
      <c r="D15" s="648"/>
      <c r="E15" s="649" t="s">
        <v>630</v>
      </c>
      <c r="F15" s="649" t="s">
        <v>631</v>
      </c>
      <c r="G15" s="649" t="s">
        <v>567</v>
      </c>
      <c r="H15" s="649" t="s">
        <v>630</v>
      </c>
      <c r="I15" s="649" t="s">
        <v>631</v>
      </c>
      <c r="J15" s="649" t="s">
        <v>567</v>
      </c>
      <c r="K15" s="649" t="s">
        <v>630</v>
      </c>
      <c r="L15" s="649" t="s">
        <v>631</v>
      </c>
      <c r="M15" s="649" t="s">
        <v>567</v>
      </c>
      <c r="N15" s="627"/>
      <c r="P15" s="409"/>
      <c r="Q15" s="411"/>
      <c r="R15" s="411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2"/>
    </row>
    <row r="16" spans="1:29" s="657" customFormat="1" ht="23" customHeight="1" x14ac:dyDescent="0.2">
      <c r="B16" s="651"/>
      <c r="C16" s="652" t="s">
        <v>632</v>
      </c>
      <c r="D16" s="653"/>
      <c r="E16" s="654">
        <f>SUM(E17:E18)</f>
        <v>4230</v>
      </c>
      <c r="F16" s="654">
        <f>SUM(F17:F18)</f>
        <v>296.10000000000002</v>
      </c>
      <c r="G16" s="655"/>
      <c r="H16" s="654">
        <f>SUM(H17:H18)</f>
        <v>0</v>
      </c>
      <c r="I16" s="654">
        <f>SUM(I17:I18)</f>
        <v>0</v>
      </c>
      <c r="J16" s="655"/>
      <c r="K16" s="654">
        <f>SUM(K17:K18)</f>
        <v>0</v>
      </c>
      <c r="L16" s="654">
        <f>SUM(L17:L18)</f>
        <v>0</v>
      </c>
      <c r="M16" s="656"/>
      <c r="N16" s="627"/>
      <c r="P16" s="409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2"/>
    </row>
    <row r="17" spans="2:29" s="657" customFormat="1" ht="20" customHeight="1" x14ac:dyDescent="0.2">
      <c r="B17" s="651"/>
      <c r="C17" s="793"/>
      <c r="D17" s="794" t="s">
        <v>633</v>
      </c>
      <c r="E17" s="481"/>
      <c r="F17" s="481"/>
      <c r="G17" s="795"/>
      <c r="H17" s="481"/>
      <c r="I17" s="481"/>
      <c r="J17" s="795"/>
      <c r="K17" s="952"/>
      <c r="L17" s="481"/>
      <c r="M17" s="796"/>
      <c r="N17" s="692"/>
      <c r="P17" s="419"/>
      <c r="Q17" s="420"/>
      <c r="R17" s="420"/>
      <c r="S17" s="420"/>
      <c r="T17" s="420"/>
      <c r="U17" s="420"/>
      <c r="V17" s="420"/>
      <c r="W17" s="420"/>
      <c r="X17" s="420"/>
      <c r="Y17" s="420"/>
      <c r="Z17" s="420"/>
      <c r="AA17" s="420"/>
      <c r="AB17" s="420"/>
      <c r="AC17" s="421"/>
    </row>
    <row r="18" spans="2:29" s="657" customFormat="1" ht="20" customHeight="1" x14ac:dyDescent="0.2">
      <c r="B18" s="651"/>
      <c r="C18" s="797"/>
      <c r="D18" s="798" t="s">
        <v>634</v>
      </c>
      <c r="E18" s="489">
        <f>700+874+800+1856</f>
        <v>4230</v>
      </c>
      <c r="F18" s="489">
        <f>+E18*0.07</f>
        <v>296.10000000000002</v>
      </c>
      <c r="G18" s="799"/>
      <c r="H18" s="489"/>
      <c r="I18" s="489"/>
      <c r="J18" s="799"/>
      <c r="K18" s="489"/>
      <c r="L18" s="489"/>
      <c r="M18" s="800"/>
      <c r="N18" s="692"/>
      <c r="P18" s="419"/>
      <c r="Q18" s="420"/>
      <c r="R18" s="420"/>
      <c r="S18" s="420"/>
      <c r="T18" s="420"/>
      <c r="U18" s="420"/>
      <c r="V18" s="420"/>
      <c r="W18" s="420"/>
      <c r="X18" s="420"/>
      <c r="Y18" s="420"/>
      <c r="Z18" s="420"/>
      <c r="AA18" s="420"/>
      <c r="AB18" s="420"/>
      <c r="AC18" s="421"/>
    </row>
    <row r="19" spans="2:29" s="657" customFormat="1" ht="23" customHeight="1" x14ac:dyDescent="0.2">
      <c r="B19" s="651"/>
      <c r="C19" s="652" t="s">
        <v>635</v>
      </c>
      <c r="D19" s="653"/>
      <c r="E19" s="654">
        <f>+E20+E25</f>
        <v>601</v>
      </c>
      <c r="F19" s="654">
        <f>+F20+F25</f>
        <v>42.07</v>
      </c>
      <c r="G19" s="655"/>
      <c r="H19" s="654">
        <f>+H20+H25</f>
        <v>1190</v>
      </c>
      <c r="I19" s="654">
        <f>+I20+I25</f>
        <v>77.349999999999994</v>
      </c>
      <c r="J19" s="655"/>
      <c r="K19" s="654">
        <f>+K20+K25</f>
        <v>0</v>
      </c>
      <c r="L19" s="654">
        <f>+L20+L25</f>
        <v>0</v>
      </c>
      <c r="M19" s="656"/>
      <c r="N19" s="627"/>
      <c r="P19" s="409"/>
      <c r="Q19" s="411"/>
      <c r="R19" s="411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2"/>
    </row>
    <row r="20" spans="2:29" s="657" customFormat="1" ht="20" customHeight="1" x14ac:dyDescent="0.2">
      <c r="B20" s="651"/>
      <c r="C20" s="793"/>
      <c r="D20" s="794" t="s">
        <v>763</v>
      </c>
      <c r="E20" s="801">
        <f>SUM(E21:E24)</f>
        <v>601</v>
      </c>
      <c r="F20" s="801">
        <f>SUM(F21:F24)</f>
        <v>42.07</v>
      </c>
      <c r="G20" s="802"/>
      <c r="H20" s="801">
        <f>SUM(H21:H24)</f>
        <v>1190</v>
      </c>
      <c r="I20" s="801">
        <f>SUM(I21:I24)</f>
        <v>77.349999999999994</v>
      </c>
      <c r="J20" s="802"/>
      <c r="K20" s="801">
        <f>SUM(K21:K24)</f>
        <v>0</v>
      </c>
      <c r="L20" s="801">
        <f>SUM(L21:L24)</f>
        <v>0</v>
      </c>
      <c r="M20" s="803"/>
      <c r="N20" s="692"/>
      <c r="P20" s="419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1"/>
    </row>
    <row r="21" spans="2:29" s="660" customFormat="1" ht="20" customHeight="1" x14ac:dyDescent="0.2">
      <c r="B21" s="629"/>
      <c r="C21" s="1227" t="s">
        <v>1071</v>
      </c>
      <c r="D21" s="563"/>
      <c r="E21" s="514">
        <v>601</v>
      </c>
      <c r="F21" s="514">
        <v>42.07</v>
      </c>
      <c r="G21" s="553"/>
      <c r="H21" s="514">
        <v>1190</v>
      </c>
      <c r="I21" s="514">
        <v>77.349999999999994</v>
      </c>
      <c r="J21" s="553"/>
      <c r="K21" s="514"/>
      <c r="L21" s="514"/>
      <c r="M21" s="521"/>
      <c r="N21" s="627"/>
      <c r="P21" s="409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2"/>
    </row>
    <row r="22" spans="2:29" s="660" customFormat="1" ht="20" customHeight="1" x14ac:dyDescent="0.2">
      <c r="B22" s="629"/>
      <c r="C22" s="562"/>
      <c r="D22" s="563"/>
      <c r="E22" s="514"/>
      <c r="F22" s="514"/>
      <c r="G22" s="553"/>
      <c r="H22" s="514"/>
      <c r="I22" s="514"/>
      <c r="J22" s="553"/>
      <c r="K22" s="514"/>
      <c r="L22" s="514"/>
      <c r="M22" s="521"/>
      <c r="N22" s="627"/>
      <c r="P22" s="409"/>
      <c r="Q22" s="411"/>
      <c r="R22" s="411"/>
      <c r="S22" s="411"/>
      <c r="T22" s="411"/>
      <c r="U22" s="411"/>
      <c r="V22" s="411"/>
      <c r="W22" s="411"/>
      <c r="X22" s="411"/>
      <c r="Y22" s="411"/>
      <c r="Z22" s="411"/>
      <c r="AA22" s="411"/>
      <c r="AB22" s="411"/>
      <c r="AC22" s="412"/>
    </row>
    <row r="23" spans="2:29" s="660" customFormat="1" ht="20" customHeight="1" x14ac:dyDescent="0.2">
      <c r="B23" s="629"/>
      <c r="C23" s="562"/>
      <c r="D23" s="563"/>
      <c r="E23" s="514"/>
      <c r="F23" s="514"/>
      <c r="G23" s="553"/>
      <c r="H23" s="514"/>
      <c r="I23" s="514"/>
      <c r="J23" s="553"/>
      <c r="K23" s="514"/>
      <c r="L23" s="514"/>
      <c r="M23" s="521"/>
      <c r="N23" s="627"/>
      <c r="P23" s="409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2"/>
    </row>
    <row r="24" spans="2:29" s="660" customFormat="1" ht="20" customHeight="1" x14ac:dyDescent="0.2">
      <c r="B24" s="629"/>
      <c r="C24" s="562"/>
      <c r="D24" s="563"/>
      <c r="E24" s="514"/>
      <c r="F24" s="514"/>
      <c r="G24" s="553"/>
      <c r="H24" s="514"/>
      <c r="I24" s="514"/>
      <c r="J24" s="553"/>
      <c r="K24" s="514"/>
      <c r="L24" s="514"/>
      <c r="M24" s="521"/>
      <c r="N24" s="627"/>
      <c r="P24" s="409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2"/>
    </row>
    <row r="25" spans="2:29" s="657" customFormat="1" ht="20" customHeight="1" x14ac:dyDescent="0.2">
      <c r="B25" s="651"/>
      <c r="C25" s="804"/>
      <c r="D25" s="805" t="s">
        <v>764</v>
      </c>
      <c r="E25" s="806">
        <f>SUM(E26:E29)</f>
        <v>0</v>
      </c>
      <c r="F25" s="806">
        <f>SUM(F26:F29)</f>
        <v>0</v>
      </c>
      <c r="G25" s="807"/>
      <c r="H25" s="806">
        <f>SUM(H26:H29)</f>
        <v>0</v>
      </c>
      <c r="I25" s="806">
        <f>SUM(I26:I29)</f>
        <v>0</v>
      </c>
      <c r="J25" s="807"/>
      <c r="K25" s="806">
        <f>SUM(K26:K29)</f>
        <v>0</v>
      </c>
      <c r="L25" s="806">
        <f>SUM(L26:L29)</f>
        <v>0</v>
      </c>
      <c r="M25" s="808"/>
      <c r="N25" s="692"/>
      <c r="P25" s="419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1"/>
    </row>
    <row r="26" spans="2:29" s="660" customFormat="1" ht="20" customHeight="1" x14ac:dyDescent="0.2">
      <c r="B26" s="629"/>
      <c r="C26" s="562"/>
      <c r="D26" s="563"/>
      <c r="E26" s="514"/>
      <c r="F26" s="514"/>
      <c r="G26" s="553"/>
      <c r="H26" s="514"/>
      <c r="I26" s="514"/>
      <c r="J26" s="553"/>
      <c r="K26" s="514"/>
      <c r="L26" s="514"/>
      <c r="M26" s="521"/>
      <c r="N26" s="627"/>
      <c r="P26" s="409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2"/>
    </row>
    <row r="27" spans="2:29" s="660" customFormat="1" ht="20" customHeight="1" x14ac:dyDescent="0.2">
      <c r="B27" s="629"/>
      <c r="C27" s="562"/>
      <c r="D27" s="563"/>
      <c r="E27" s="514"/>
      <c r="F27" s="514"/>
      <c r="G27" s="553"/>
      <c r="H27" s="514"/>
      <c r="I27" s="514"/>
      <c r="J27" s="553"/>
      <c r="K27" s="514"/>
      <c r="L27" s="514"/>
      <c r="M27" s="521"/>
      <c r="N27" s="627"/>
      <c r="P27" s="409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2"/>
    </row>
    <row r="28" spans="2:29" s="660" customFormat="1" ht="20" customHeight="1" x14ac:dyDescent="0.2">
      <c r="B28" s="629"/>
      <c r="C28" s="562"/>
      <c r="D28" s="563"/>
      <c r="E28" s="514"/>
      <c r="F28" s="514"/>
      <c r="G28" s="553"/>
      <c r="H28" s="514"/>
      <c r="I28" s="514"/>
      <c r="J28" s="553"/>
      <c r="K28" s="514"/>
      <c r="L28" s="514"/>
      <c r="M28" s="521"/>
      <c r="N28" s="627"/>
      <c r="P28" s="409"/>
      <c r="Q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2"/>
    </row>
    <row r="29" spans="2:29" s="660" customFormat="1" ht="20" customHeight="1" x14ac:dyDescent="0.2">
      <c r="B29" s="629"/>
      <c r="C29" s="564"/>
      <c r="D29" s="565"/>
      <c r="E29" s="516"/>
      <c r="F29" s="516"/>
      <c r="G29" s="532"/>
      <c r="H29" s="516"/>
      <c r="I29" s="516"/>
      <c r="J29" s="532"/>
      <c r="K29" s="516"/>
      <c r="L29" s="516"/>
      <c r="M29" s="522"/>
      <c r="N29" s="627"/>
      <c r="P29" s="409"/>
      <c r="Q29" s="411"/>
      <c r="R29" s="411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2"/>
    </row>
    <row r="30" spans="2:29" s="657" customFormat="1" ht="23" customHeight="1" x14ac:dyDescent="0.2">
      <c r="B30" s="651"/>
      <c r="C30" s="652" t="s">
        <v>636</v>
      </c>
      <c r="D30" s="653"/>
      <c r="E30" s="654">
        <f>+E31+E40</f>
        <v>124216.93999999999</v>
      </c>
      <c r="F30" s="654">
        <f>+F31+F40</f>
        <v>0</v>
      </c>
      <c r="G30" s="655"/>
      <c r="H30" s="654">
        <f>+H31+H40</f>
        <v>86139.99</v>
      </c>
      <c r="I30" s="654">
        <f>+I31+I40</f>
        <v>0</v>
      </c>
      <c r="J30" s="655"/>
      <c r="K30" s="654">
        <f>+K31+K40</f>
        <v>90000</v>
      </c>
      <c r="L30" s="654">
        <f>+L31+L40</f>
        <v>0</v>
      </c>
      <c r="M30" s="656"/>
      <c r="N30" s="627"/>
      <c r="P30" s="419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1"/>
    </row>
    <row r="31" spans="2:29" s="671" customFormat="1" ht="19.25" customHeight="1" x14ac:dyDescent="0.2">
      <c r="B31" s="664"/>
      <c r="C31" s="665" t="s">
        <v>637</v>
      </c>
      <c r="D31" s="666"/>
      <c r="E31" s="667">
        <f>E32+E36</f>
        <v>0</v>
      </c>
      <c r="F31" s="667">
        <f>F32+F36</f>
        <v>0</v>
      </c>
      <c r="G31" s="668"/>
      <c r="H31" s="667">
        <f>H32+H36</f>
        <v>0</v>
      </c>
      <c r="I31" s="667">
        <f>I32+I36</f>
        <v>0</v>
      </c>
      <c r="J31" s="668"/>
      <c r="K31" s="667">
        <f>K32+K36</f>
        <v>0</v>
      </c>
      <c r="L31" s="667">
        <f>L32+L36</f>
        <v>0</v>
      </c>
      <c r="M31" s="669"/>
      <c r="N31" s="670"/>
      <c r="P31" s="609"/>
      <c r="Q31" s="610"/>
      <c r="R31" s="610"/>
      <c r="S31" s="610"/>
      <c r="T31" s="610"/>
      <c r="U31" s="610"/>
      <c r="V31" s="610"/>
      <c r="W31" s="610"/>
      <c r="X31" s="610"/>
      <c r="Y31" s="610"/>
      <c r="Z31" s="610"/>
      <c r="AA31" s="610"/>
      <c r="AB31" s="610"/>
      <c r="AC31" s="611"/>
    </row>
    <row r="32" spans="2:29" s="657" customFormat="1" ht="19.25" customHeight="1" x14ac:dyDescent="0.2">
      <c r="B32" s="651"/>
      <c r="C32" s="793"/>
      <c r="D32" s="794" t="s">
        <v>765</v>
      </c>
      <c r="E32" s="801">
        <f>SUM(E33:E35)</f>
        <v>0</v>
      </c>
      <c r="F32" s="801">
        <f>SUM(F33:F35)</f>
        <v>0</v>
      </c>
      <c r="G32" s="802"/>
      <c r="H32" s="801">
        <f>SUM(H33:H35)</f>
        <v>0</v>
      </c>
      <c r="I32" s="801">
        <f>SUM(I33:I35)</f>
        <v>0</v>
      </c>
      <c r="J32" s="802"/>
      <c r="K32" s="801">
        <f>SUM(K33:K35)</f>
        <v>0</v>
      </c>
      <c r="L32" s="801">
        <f>SUM(L33:L35)</f>
        <v>0</v>
      </c>
      <c r="M32" s="803"/>
      <c r="N32" s="692"/>
      <c r="P32" s="419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1"/>
    </row>
    <row r="33" spans="2:29" s="660" customFormat="1" ht="19.25" customHeight="1" x14ac:dyDescent="0.2">
      <c r="B33" s="629"/>
      <c r="C33" s="560"/>
      <c r="D33" s="561"/>
      <c r="E33" s="511"/>
      <c r="F33" s="511"/>
      <c r="G33" s="551"/>
      <c r="H33" s="511"/>
      <c r="I33" s="511"/>
      <c r="J33" s="551"/>
      <c r="K33" s="511"/>
      <c r="L33" s="511"/>
      <c r="M33" s="552"/>
      <c r="N33" s="627"/>
      <c r="P33" s="409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2"/>
    </row>
    <row r="34" spans="2:29" s="660" customFormat="1" ht="19.25" customHeight="1" x14ac:dyDescent="0.2">
      <c r="B34" s="629"/>
      <c r="C34" s="560"/>
      <c r="D34" s="561"/>
      <c r="E34" s="511"/>
      <c r="F34" s="511"/>
      <c r="G34" s="551">
        <v>66506.42</v>
      </c>
      <c r="H34" s="511"/>
      <c r="I34" s="511"/>
      <c r="J34" s="551"/>
      <c r="K34" s="511"/>
      <c r="L34" s="511"/>
      <c r="M34" s="552"/>
      <c r="N34" s="627"/>
      <c r="P34" s="409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2"/>
    </row>
    <row r="35" spans="2:29" s="660" customFormat="1" ht="19.25" customHeight="1" x14ac:dyDescent="0.2">
      <c r="B35" s="629"/>
      <c r="C35" s="560"/>
      <c r="D35" s="561"/>
      <c r="E35" s="511"/>
      <c r="F35" s="511"/>
      <c r="G35" s="551"/>
      <c r="H35" s="511"/>
      <c r="I35" s="511"/>
      <c r="J35" s="551"/>
      <c r="K35" s="511"/>
      <c r="L35" s="511"/>
      <c r="M35" s="552"/>
      <c r="N35" s="627"/>
      <c r="P35" s="409"/>
      <c r="Q35" s="411"/>
      <c r="R35" s="411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2"/>
    </row>
    <row r="36" spans="2:29" s="657" customFormat="1" ht="19.25" customHeight="1" x14ac:dyDescent="0.2">
      <c r="B36" s="651"/>
      <c r="C36" s="793"/>
      <c r="D36" s="794" t="s">
        <v>766</v>
      </c>
      <c r="E36" s="801">
        <f>SUM(E37:E39)</f>
        <v>0</v>
      </c>
      <c r="F36" s="801">
        <f>SUM(F37:F39)</f>
        <v>0</v>
      </c>
      <c r="G36" s="802"/>
      <c r="H36" s="801">
        <f>SUM(H37:H39)</f>
        <v>0</v>
      </c>
      <c r="I36" s="801">
        <f>SUM(I37:I39)</f>
        <v>0</v>
      </c>
      <c r="J36" s="802"/>
      <c r="K36" s="801">
        <f>SUM(K37:K39)</f>
        <v>0</v>
      </c>
      <c r="L36" s="801">
        <f>SUM(L37:L39)</f>
        <v>0</v>
      </c>
      <c r="M36" s="803"/>
      <c r="N36" s="692"/>
      <c r="P36" s="809"/>
      <c r="Q36" s="810"/>
      <c r="R36" s="810"/>
      <c r="S36" s="810"/>
      <c r="T36" s="810"/>
      <c r="U36" s="810"/>
      <c r="V36" s="810"/>
      <c r="W36" s="810"/>
      <c r="X36" s="810"/>
      <c r="Y36" s="810"/>
      <c r="Z36" s="810"/>
      <c r="AA36" s="810"/>
      <c r="AB36" s="810"/>
      <c r="AC36" s="811"/>
    </row>
    <row r="37" spans="2:29" s="660" customFormat="1" ht="19.25" customHeight="1" x14ac:dyDescent="0.2">
      <c r="B37" s="629"/>
      <c r="C37" s="560"/>
      <c r="D37" s="561"/>
      <c r="E37" s="511"/>
      <c r="F37" s="511"/>
      <c r="G37" s="551"/>
      <c r="H37" s="511"/>
      <c r="I37" s="511"/>
      <c r="J37" s="551"/>
      <c r="K37" s="511"/>
      <c r="L37" s="511"/>
      <c r="M37" s="552"/>
      <c r="N37" s="627"/>
      <c r="P37" s="422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4"/>
    </row>
    <row r="38" spans="2:29" s="660" customFormat="1" ht="19.25" customHeight="1" x14ac:dyDescent="0.2">
      <c r="B38" s="629"/>
      <c r="C38" s="560"/>
      <c r="D38" s="561"/>
      <c r="E38" s="511"/>
      <c r="F38" s="511"/>
      <c r="G38" s="551"/>
      <c r="H38" s="511"/>
      <c r="I38" s="511"/>
      <c r="J38" s="551"/>
      <c r="K38" s="511"/>
      <c r="L38" s="511"/>
      <c r="M38" s="552"/>
      <c r="N38" s="627"/>
      <c r="P38" s="422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4"/>
    </row>
    <row r="39" spans="2:29" s="660" customFormat="1" ht="19.25" customHeight="1" x14ac:dyDescent="0.2">
      <c r="B39" s="629"/>
      <c r="C39" s="560"/>
      <c r="D39" s="561"/>
      <c r="E39" s="511"/>
      <c r="F39" s="511"/>
      <c r="G39" s="551"/>
      <c r="H39" s="511"/>
      <c r="I39" s="511"/>
      <c r="J39" s="551"/>
      <c r="K39" s="511"/>
      <c r="L39" s="511"/>
      <c r="M39" s="552"/>
      <c r="N39" s="627"/>
      <c r="P39" s="422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4"/>
    </row>
    <row r="40" spans="2:29" s="671" customFormat="1" ht="19.25" customHeight="1" x14ac:dyDescent="0.2">
      <c r="B40" s="664"/>
      <c r="C40" s="665" t="s">
        <v>638</v>
      </c>
      <c r="D40" s="666"/>
      <c r="E40" s="667">
        <f>+E41+E42</f>
        <v>124216.93999999999</v>
      </c>
      <c r="F40" s="667">
        <f>+F41+F42</f>
        <v>0</v>
      </c>
      <c r="G40" s="668"/>
      <c r="H40" s="667">
        <f>+H41+H42</f>
        <v>86139.99</v>
      </c>
      <c r="I40" s="667">
        <f>+I41+I42</f>
        <v>0</v>
      </c>
      <c r="J40" s="668"/>
      <c r="K40" s="667">
        <f>+K41+K42</f>
        <v>90000</v>
      </c>
      <c r="L40" s="667">
        <f>+L41+L42</f>
        <v>0</v>
      </c>
      <c r="M40" s="669"/>
      <c r="N40" s="670"/>
      <c r="P40" s="612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4"/>
    </row>
    <row r="41" spans="2:29" s="657" customFormat="1" ht="19.25" customHeight="1" x14ac:dyDescent="0.2">
      <c r="B41" s="651"/>
      <c r="C41" s="793"/>
      <c r="D41" s="794" t="s">
        <v>639</v>
      </c>
      <c r="E41" s="481">
        <v>266.89999999999998</v>
      </c>
      <c r="F41" s="481"/>
      <c r="G41" s="795"/>
      <c r="H41" s="481">
        <v>415.88</v>
      </c>
      <c r="I41" s="481"/>
      <c r="J41" s="795"/>
      <c r="K41" s="481"/>
      <c r="L41" s="481"/>
      <c r="M41" s="796"/>
      <c r="N41" s="692"/>
      <c r="P41" s="809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  <c r="AB41" s="810"/>
      <c r="AC41" s="811"/>
    </row>
    <row r="42" spans="2:29" s="657" customFormat="1" ht="19.25" customHeight="1" x14ac:dyDescent="0.2">
      <c r="B42" s="651"/>
      <c r="C42" s="812"/>
      <c r="D42" s="813" t="s">
        <v>640</v>
      </c>
      <c r="E42" s="814">
        <f>128781.04-E18-E20</f>
        <v>123950.04</v>
      </c>
      <c r="F42" s="814"/>
      <c r="G42" s="815"/>
      <c r="H42" s="814">
        <f>86914.11-1190</f>
        <v>85724.11</v>
      </c>
      <c r="I42" s="814"/>
      <c r="J42" s="815"/>
      <c r="K42" s="814">
        <v>90000</v>
      </c>
      <c r="L42" s="814"/>
      <c r="M42" s="816"/>
      <c r="N42" s="692"/>
      <c r="P42" s="809"/>
      <c r="Q42" s="810"/>
      <c r="R42" s="810"/>
      <c r="S42" s="810"/>
      <c r="T42" s="810"/>
      <c r="U42" s="810"/>
      <c r="V42" s="810"/>
      <c r="W42" s="810"/>
      <c r="X42" s="810"/>
      <c r="Y42" s="810"/>
      <c r="Z42" s="810"/>
      <c r="AA42" s="810"/>
      <c r="AB42" s="810"/>
      <c r="AC42" s="811"/>
    </row>
    <row r="43" spans="2:29" s="657" customFormat="1" ht="23" customHeight="1" thickBot="1" x14ac:dyDescent="0.25">
      <c r="B43" s="651"/>
      <c r="C43" s="672" t="s">
        <v>641</v>
      </c>
      <c r="D43" s="673"/>
      <c r="E43" s="674">
        <f>E16+E19+E30</f>
        <v>129047.93999999999</v>
      </c>
      <c r="F43" s="674">
        <f>F16+F19+F30</f>
        <v>338.17</v>
      </c>
      <c r="G43" s="675"/>
      <c r="H43" s="674">
        <f>H16+H19+H30</f>
        <v>87329.99</v>
      </c>
      <c r="I43" s="674">
        <f>I16+I19+I30</f>
        <v>77.349999999999994</v>
      </c>
      <c r="J43" s="675"/>
      <c r="K43" s="674">
        <f>K16+K19+K30</f>
        <v>90000</v>
      </c>
      <c r="L43" s="674">
        <f>L16+L19+L30</f>
        <v>0</v>
      </c>
      <c r="M43" s="676"/>
      <c r="N43" s="627"/>
      <c r="P43" s="422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4"/>
    </row>
    <row r="44" spans="2:29" s="660" customFormat="1" ht="23" customHeight="1" x14ac:dyDescent="0.2">
      <c r="B44" s="629"/>
      <c r="C44" s="677"/>
      <c r="D44" s="677"/>
      <c r="E44" s="678"/>
      <c r="F44" s="678"/>
      <c r="G44" s="678"/>
      <c r="H44" s="678"/>
      <c r="I44" s="678"/>
      <c r="J44" s="678"/>
      <c r="K44" s="678"/>
      <c r="L44" s="678"/>
      <c r="M44" s="678"/>
      <c r="N44" s="627"/>
      <c r="P44" s="422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4"/>
    </row>
    <row r="45" spans="2:29" s="645" customFormat="1" ht="23" customHeight="1" x14ac:dyDescent="0.2">
      <c r="B45" s="638"/>
      <c r="C45" s="639"/>
      <c r="D45" s="640"/>
      <c r="E45" s="679" t="s">
        <v>176</v>
      </c>
      <c r="F45" s="679" t="s">
        <v>177</v>
      </c>
      <c r="G45" s="679" t="s">
        <v>178</v>
      </c>
      <c r="H45" s="1377" t="s">
        <v>567</v>
      </c>
      <c r="I45" s="1378"/>
      <c r="J45" s="1378"/>
      <c r="K45" s="1378"/>
      <c r="L45" s="1378"/>
      <c r="M45" s="1379"/>
      <c r="N45" s="627"/>
      <c r="P45" s="422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4"/>
    </row>
    <row r="46" spans="2:29" s="650" customFormat="1" ht="23" customHeight="1" x14ac:dyDescent="0.2">
      <c r="B46" s="646"/>
      <c r="C46" s="647" t="s">
        <v>642</v>
      </c>
      <c r="D46" s="648"/>
      <c r="E46" s="680">
        <f>ejercicio-2</f>
        <v>2018</v>
      </c>
      <c r="F46" s="680">
        <f>ejercicio-1</f>
        <v>2019</v>
      </c>
      <c r="G46" s="680">
        <f>ejercicio</f>
        <v>2020</v>
      </c>
      <c r="H46" s="1380"/>
      <c r="I46" s="1381"/>
      <c r="J46" s="1381"/>
      <c r="K46" s="1381"/>
      <c r="L46" s="1381"/>
      <c r="M46" s="1382"/>
      <c r="N46" s="627"/>
      <c r="P46" s="422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  <c r="AC46" s="424"/>
    </row>
    <row r="47" spans="2:29" s="660" customFormat="1" ht="23" customHeight="1" thickBot="1" x14ac:dyDescent="0.25">
      <c r="B47" s="629"/>
      <c r="C47" s="672" t="s">
        <v>809</v>
      </c>
      <c r="D47" s="673"/>
      <c r="E47" s="674">
        <f>E48+E52</f>
        <v>194404.11</v>
      </c>
      <c r="F47" s="674">
        <f>F48+F52</f>
        <v>0</v>
      </c>
      <c r="G47" s="674">
        <f t="shared" ref="G47" si="0">G48+G52</f>
        <v>0</v>
      </c>
      <c r="H47" s="681"/>
      <c r="I47" s="682"/>
      <c r="J47" s="682"/>
      <c r="K47" s="682"/>
      <c r="L47" s="682"/>
      <c r="M47" s="683"/>
      <c r="N47" s="627"/>
      <c r="P47" s="422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  <c r="AC47" s="424"/>
    </row>
    <row r="48" spans="2:29" s="660" customFormat="1" ht="20" customHeight="1" x14ac:dyDescent="0.2">
      <c r="B48" s="629"/>
      <c r="C48" s="1271" t="s">
        <v>1004</v>
      </c>
      <c r="D48" s="1272"/>
      <c r="E48" s="1273">
        <f>SUM(E49:E51)</f>
        <v>6000</v>
      </c>
      <c r="F48" s="1273">
        <f t="shared" ref="F48:G48" si="1">SUM(F49:F51)</f>
        <v>0</v>
      </c>
      <c r="G48" s="1273">
        <f t="shared" si="1"/>
        <v>0</v>
      </c>
      <c r="H48" s="1274"/>
      <c r="I48" s="1275"/>
      <c r="J48" s="1275"/>
      <c r="K48" s="1275"/>
      <c r="L48" s="1275"/>
      <c r="M48" s="1276"/>
      <c r="N48" s="627"/>
      <c r="P48" s="422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4"/>
    </row>
    <row r="49" spans="2:29" s="660" customFormat="1" ht="20" customHeight="1" x14ac:dyDescent="0.2">
      <c r="B49" s="629"/>
      <c r="C49" s="1227" t="s">
        <v>1072</v>
      </c>
      <c r="D49" s="563"/>
      <c r="E49" s="583">
        <v>6000</v>
      </c>
      <c r="F49" s="583"/>
      <c r="G49" s="583"/>
      <c r="H49" s="540"/>
      <c r="I49" s="703"/>
      <c r="J49" s="703"/>
      <c r="K49" s="703"/>
      <c r="L49" s="703"/>
      <c r="M49" s="537"/>
      <c r="N49" s="627"/>
      <c r="P49" s="422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  <c r="AC49" s="424"/>
    </row>
    <row r="50" spans="2:29" s="660" customFormat="1" ht="20" customHeight="1" x14ac:dyDescent="0.2">
      <c r="B50" s="629"/>
      <c r="C50" s="562"/>
      <c r="D50" s="563"/>
      <c r="E50" s="583"/>
      <c r="F50" s="583"/>
      <c r="G50" s="583"/>
      <c r="H50" s="1245"/>
      <c r="I50" s="703"/>
      <c r="J50" s="703"/>
      <c r="K50" s="703"/>
      <c r="L50" s="703"/>
      <c r="M50" s="1246"/>
      <c r="N50" s="627"/>
      <c r="P50" s="422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4"/>
    </row>
    <row r="51" spans="2:29" s="660" customFormat="1" ht="20" customHeight="1" x14ac:dyDescent="0.2">
      <c r="B51" s="629"/>
      <c r="C51" s="562"/>
      <c r="D51" s="563"/>
      <c r="E51" s="583"/>
      <c r="F51" s="583"/>
      <c r="G51" s="583"/>
      <c r="H51" s="540"/>
      <c r="I51" s="703"/>
      <c r="J51" s="703"/>
      <c r="K51" s="703"/>
      <c r="L51" s="703"/>
      <c r="M51" s="537"/>
      <c r="N51" s="627"/>
      <c r="P51" s="422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4"/>
    </row>
    <row r="52" spans="2:29" s="660" customFormat="1" ht="20" customHeight="1" x14ac:dyDescent="0.2">
      <c r="B52" s="629"/>
      <c r="C52" s="804" t="s">
        <v>1005</v>
      </c>
      <c r="D52" s="663"/>
      <c r="E52" s="1277">
        <f>SUM(E53:E55)</f>
        <v>188404.11</v>
      </c>
      <c r="F52" s="1277">
        <f t="shared" ref="F52:G52" si="2">SUM(F53:F55)</f>
        <v>0</v>
      </c>
      <c r="G52" s="1277">
        <f t="shared" si="2"/>
        <v>0</v>
      </c>
      <c r="H52" s="1278"/>
      <c r="I52" s="1279"/>
      <c r="J52" s="1279"/>
      <c r="K52" s="1279"/>
      <c r="L52" s="1279"/>
      <c r="M52" s="1280"/>
      <c r="N52" s="627"/>
      <c r="P52" s="422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  <c r="AC52" s="424"/>
    </row>
    <row r="53" spans="2:29" s="660" customFormat="1" ht="20" customHeight="1" x14ac:dyDescent="0.2">
      <c r="B53" s="629"/>
      <c r="C53" s="1227" t="s">
        <v>1073</v>
      </c>
      <c r="D53" s="563"/>
      <c r="E53" s="583">
        <v>188404.11</v>
      </c>
      <c r="F53" s="583"/>
      <c r="G53" s="583"/>
      <c r="H53" s="540"/>
      <c r="I53" s="703"/>
      <c r="J53" s="703"/>
      <c r="K53" s="703"/>
      <c r="L53" s="703"/>
      <c r="M53" s="537"/>
      <c r="N53" s="627"/>
      <c r="P53" s="422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4"/>
    </row>
    <row r="54" spans="2:29" s="660" customFormat="1" ht="20" customHeight="1" x14ac:dyDescent="0.2">
      <c r="B54" s="629"/>
      <c r="C54" s="562"/>
      <c r="D54" s="563"/>
      <c r="E54" s="583"/>
      <c r="F54" s="583"/>
      <c r="G54" s="583"/>
      <c r="H54" s="540"/>
      <c r="I54" s="703"/>
      <c r="J54" s="703"/>
      <c r="K54" s="703"/>
      <c r="L54" s="703"/>
      <c r="M54" s="537"/>
      <c r="N54" s="627"/>
      <c r="P54" s="422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  <c r="AC54" s="424"/>
    </row>
    <row r="55" spans="2:29" s="660" customFormat="1" ht="20" customHeight="1" x14ac:dyDescent="0.2">
      <c r="B55" s="629"/>
      <c r="C55" s="564"/>
      <c r="D55" s="565"/>
      <c r="E55" s="584"/>
      <c r="F55" s="584"/>
      <c r="G55" s="584"/>
      <c r="H55" s="538"/>
      <c r="I55" s="531"/>
      <c r="J55" s="531"/>
      <c r="K55" s="531"/>
      <c r="L55" s="531"/>
      <c r="M55" s="539"/>
      <c r="N55" s="627"/>
      <c r="P55" s="422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4"/>
    </row>
    <row r="56" spans="2:29" s="660" customFormat="1" ht="23" customHeight="1" thickBot="1" x14ac:dyDescent="0.25">
      <c r="B56" s="629"/>
      <c r="C56" s="672" t="s">
        <v>810</v>
      </c>
      <c r="D56" s="673"/>
      <c r="E56" s="674">
        <f>E57+E61</f>
        <v>0</v>
      </c>
      <c r="F56" s="674">
        <f>F57+F61</f>
        <v>-66506.42</v>
      </c>
      <c r="G56" s="674">
        <f t="shared" ref="G56" si="3">G57+G61</f>
        <v>0</v>
      </c>
      <c r="H56" s="681"/>
      <c r="I56" s="682"/>
      <c r="J56" s="682"/>
      <c r="K56" s="682"/>
      <c r="L56" s="682"/>
      <c r="M56" s="683"/>
      <c r="N56" s="627"/>
      <c r="P56" s="422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4"/>
    </row>
    <row r="57" spans="2:29" s="660" customFormat="1" ht="20" customHeight="1" x14ac:dyDescent="0.2">
      <c r="B57" s="629"/>
      <c r="C57" s="1271" t="s">
        <v>1006</v>
      </c>
      <c r="D57" s="1272"/>
      <c r="E57" s="1273">
        <f>SUM(E58:E60)</f>
        <v>0</v>
      </c>
      <c r="F57" s="1273">
        <f t="shared" ref="F57" si="4">SUM(F58:F60)</f>
        <v>-66506.42</v>
      </c>
      <c r="G57" s="1273">
        <f>SUM(G58:G60)</f>
        <v>0</v>
      </c>
      <c r="H57" s="1274"/>
      <c r="I57" s="1275"/>
      <c r="J57" s="1275"/>
      <c r="K57" s="1275"/>
      <c r="L57" s="1275"/>
      <c r="M57" s="1276"/>
      <c r="N57" s="627"/>
      <c r="P57" s="422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4"/>
    </row>
    <row r="58" spans="2:29" s="660" customFormat="1" ht="20" customHeight="1" x14ac:dyDescent="0.2">
      <c r="B58" s="629"/>
      <c r="C58" s="1227" t="s">
        <v>1112</v>
      </c>
      <c r="D58" s="563"/>
      <c r="E58" s="583"/>
      <c r="F58" s="583">
        <v>-66506.42</v>
      </c>
      <c r="G58" s="583">
        <v>0</v>
      </c>
      <c r="H58" s="540"/>
      <c r="I58" s="703"/>
      <c r="J58" s="703"/>
      <c r="K58" s="703"/>
      <c r="L58" s="703"/>
      <c r="M58" s="537"/>
      <c r="N58" s="627"/>
      <c r="P58" s="422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4"/>
    </row>
    <row r="59" spans="2:29" s="660" customFormat="1" ht="20" customHeight="1" x14ac:dyDescent="0.2">
      <c r="B59" s="629"/>
      <c r="C59" s="562"/>
      <c r="D59" s="563"/>
      <c r="E59" s="583"/>
      <c r="F59" s="583"/>
      <c r="G59" s="583"/>
      <c r="H59" s="1245"/>
      <c r="I59" s="703"/>
      <c r="J59" s="703"/>
      <c r="K59" s="703"/>
      <c r="L59" s="703"/>
      <c r="M59" s="1246"/>
      <c r="N59" s="627"/>
      <c r="P59" s="422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  <c r="AC59" s="424"/>
    </row>
    <row r="60" spans="2:29" s="660" customFormat="1" ht="20" customHeight="1" x14ac:dyDescent="0.2">
      <c r="B60" s="629"/>
      <c r="C60" s="562"/>
      <c r="D60" s="563"/>
      <c r="E60" s="583"/>
      <c r="F60" s="583"/>
      <c r="G60" s="583"/>
      <c r="H60" s="540"/>
      <c r="I60" s="703"/>
      <c r="J60" s="703"/>
      <c r="K60" s="703"/>
      <c r="L60" s="703"/>
      <c r="M60" s="537"/>
      <c r="N60" s="627"/>
      <c r="P60" s="422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4"/>
    </row>
    <row r="61" spans="2:29" s="660" customFormat="1" ht="20" customHeight="1" x14ac:dyDescent="0.2">
      <c r="B61" s="629"/>
      <c r="C61" s="804" t="s">
        <v>1007</v>
      </c>
      <c r="D61" s="663"/>
      <c r="E61" s="1277">
        <f>SUM(E62:E64)</f>
        <v>0</v>
      </c>
      <c r="F61" s="1277">
        <f t="shared" ref="F61" si="5">SUM(F62:F64)</f>
        <v>0</v>
      </c>
      <c r="G61" s="1277">
        <f t="shared" ref="G61" si="6">SUM(G62:G64)</f>
        <v>0</v>
      </c>
      <c r="H61" s="1278"/>
      <c r="I61" s="1279"/>
      <c r="J61" s="1279"/>
      <c r="K61" s="1279"/>
      <c r="L61" s="1279"/>
      <c r="M61" s="1280"/>
      <c r="N61" s="627"/>
      <c r="P61" s="422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  <c r="AC61" s="424"/>
    </row>
    <row r="62" spans="2:29" s="660" customFormat="1" ht="20" customHeight="1" x14ac:dyDescent="0.2">
      <c r="B62" s="629"/>
      <c r="C62" s="562"/>
      <c r="D62" s="563"/>
      <c r="E62" s="583"/>
      <c r="F62" s="583"/>
      <c r="G62" s="583"/>
      <c r="H62" s="540"/>
      <c r="I62" s="703"/>
      <c r="J62" s="703"/>
      <c r="K62" s="703"/>
      <c r="L62" s="703"/>
      <c r="M62" s="537"/>
      <c r="N62" s="627"/>
      <c r="P62" s="422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  <c r="AC62" s="424"/>
    </row>
    <row r="63" spans="2:29" s="660" customFormat="1" ht="20" customHeight="1" x14ac:dyDescent="0.2">
      <c r="B63" s="629"/>
      <c r="C63" s="562"/>
      <c r="D63" s="563"/>
      <c r="E63" s="583"/>
      <c r="F63" s="583"/>
      <c r="G63" s="583"/>
      <c r="H63" s="540"/>
      <c r="I63" s="703"/>
      <c r="J63" s="703"/>
      <c r="K63" s="703"/>
      <c r="L63" s="703"/>
      <c r="M63" s="537"/>
      <c r="N63" s="627"/>
      <c r="P63" s="422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  <c r="AC63" s="424"/>
    </row>
    <row r="64" spans="2:29" s="660" customFormat="1" ht="20" customHeight="1" x14ac:dyDescent="0.2">
      <c r="B64" s="629"/>
      <c r="C64" s="564"/>
      <c r="D64" s="565"/>
      <c r="E64" s="584"/>
      <c r="F64" s="584"/>
      <c r="G64" s="584"/>
      <c r="H64" s="538"/>
      <c r="I64" s="531"/>
      <c r="J64" s="531"/>
      <c r="K64" s="531"/>
      <c r="L64" s="531"/>
      <c r="M64" s="539"/>
      <c r="N64" s="627"/>
      <c r="P64" s="422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4"/>
    </row>
    <row r="65" spans="2:29" s="660" customFormat="1" ht="23" customHeight="1" x14ac:dyDescent="0.2">
      <c r="B65" s="629"/>
      <c r="C65" s="677"/>
      <c r="D65" s="677"/>
      <c r="E65" s="678"/>
      <c r="F65" s="678"/>
      <c r="G65" s="678"/>
      <c r="H65" s="678"/>
      <c r="I65" s="678"/>
      <c r="J65" s="678"/>
      <c r="K65" s="678"/>
      <c r="L65" s="678"/>
      <c r="M65" s="678"/>
      <c r="N65" s="627"/>
      <c r="P65" s="422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  <c r="AC65" s="424"/>
    </row>
    <row r="66" spans="2:29" s="660" customFormat="1" ht="23" customHeight="1" x14ac:dyDescent="0.2">
      <c r="B66" s="629"/>
      <c r="C66" s="639"/>
      <c r="D66" s="640"/>
      <c r="E66" s="679" t="s">
        <v>176</v>
      </c>
      <c r="F66" s="679" t="s">
        <v>177</v>
      </c>
      <c r="G66" s="679" t="s">
        <v>178</v>
      </c>
      <c r="H66" s="1377" t="s">
        <v>567</v>
      </c>
      <c r="I66" s="1378"/>
      <c r="J66" s="1378"/>
      <c r="K66" s="1378"/>
      <c r="L66" s="1378"/>
      <c r="M66" s="1379"/>
      <c r="N66" s="627"/>
      <c r="P66" s="422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  <c r="AC66" s="424"/>
    </row>
    <row r="67" spans="2:29" s="660" customFormat="1" ht="23" customHeight="1" x14ac:dyDescent="0.2">
      <c r="B67" s="629"/>
      <c r="C67" s="647" t="s">
        <v>643</v>
      </c>
      <c r="D67" s="648"/>
      <c r="E67" s="680">
        <f>ejercicio-2</f>
        <v>2018</v>
      </c>
      <c r="F67" s="680">
        <f>ejercicio-1</f>
        <v>2019</v>
      </c>
      <c r="G67" s="680">
        <f>ejercicio</f>
        <v>2020</v>
      </c>
      <c r="H67" s="1380"/>
      <c r="I67" s="1381"/>
      <c r="J67" s="1381"/>
      <c r="K67" s="1381"/>
      <c r="L67" s="1381"/>
      <c r="M67" s="1382"/>
      <c r="N67" s="627"/>
      <c r="P67" s="422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4"/>
    </row>
    <row r="68" spans="2:29" s="660" customFormat="1" ht="23" customHeight="1" x14ac:dyDescent="0.2">
      <c r="B68" s="629"/>
      <c r="C68" s="658" t="s">
        <v>644</v>
      </c>
      <c r="D68" s="659"/>
      <c r="E68" s="511"/>
      <c r="F68" s="511">
        <f>54702.18*2</f>
        <v>109404.36</v>
      </c>
      <c r="G68" s="817">
        <v>0</v>
      </c>
      <c r="H68" s="704"/>
      <c r="I68" s="705"/>
      <c r="J68" s="705"/>
      <c r="K68" s="705"/>
      <c r="L68" s="705"/>
      <c r="M68" s="512"/>
      <c r="N68" s="627"/>
      <c r="P68" s="422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4"/>
    </row>
    <row r="69" spans="2:29" s="660" customFormat="1" ht="23" customHeight="1" x14ac:dyDescent="0.2">
      <c r="B69" s="629"/>
      <c r="C69" s="661" t="s">
        <v>645</v>
      </c>
      <c r="D69" s="662"/>
      <c r="E69" s="516"/>
      <c r="F69" s="516">
        <v>303893.90999999997</v>
      </c>
      <c r="G69" s="584">
        <f>-F68</f>
        <v>-109404.36</v>
      </c>
      <c r="H69" s="538"/>
      <c r="I69" s="531"/>
      <c r="J69" s="531"/>
      <c r="K69" s="531"/>
      <c r="L69" s="531"/>
      <c r="M69" s="539"/>
      <c r="N69" s="627"/>
      <c r="P69" s="422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4"/>
    </row>
    <row r="70" spans="2:29" s="660" customFormat="1" ht="23" customHeight="1" x14ac:dyDescent="0.2">
      <c r="B70" s="629"/>
      <c r="C70" s="677"/>
      <c r="D70" s="677"/>
      <c r="E70" s="678"/>
      <c r="F70" s="678"/>
      <c r="G70" s="678"/>
      <c r="H70" s="678"/>
      <c r="I70" s="678"/>
      <c r="J70" s="678"/>
      <c r="K70" s="678"/>
      <c r="L70" s="678"/>
      <c r="M70" s="678"/>
      <c r="N70" s="627"/>
      <c r="P70" s="422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4"/>
    </row>
    <row r="71" spans="2:29" s="660" customFormat="1" ht="23" customHeight="1" x14ac:dyDescent="0.2">
      <c r="B71" s="629"/>
      <c r="C71" s="639"/>
      <c r="D71" s="640"/>
      <c r="E71" s="679" t="s">
        <v>176</v>
      </c>
      <c r="F71" s="679" t="s">
        <v>177</v>
      </c>
      <c r="G71" s="679" t="s">
        <v>178</v>
      </c>
      <c r="H71" s="1377" t="s">
        <v>567</v>
      </c>
      <c r="I71" s="1378"/>
      <c r="J71" s="1378"/>
      <c r="K71" s="1378"/>
      <c r="L71" s="1378"/>
      <c r="M71" s="1379"/>
      <c r="N71" s="627"/>
      <c r="P71" s="422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  <c r="AC71" s="424"/>
    </row>
    <row r="72" spans="2:29" s="660" customFormat="1" ht="23" customHeight="1" x14ac:dyDescent="0.2">
      <c r="B72" s="629"/>
      <c r="C72" s="647" t="s">
        <v>679</v>
      </c>
      <c r="D72" s="648"/>
      <c r="E72" s="680">
        <f>ejercicio-2</f>
        <v>2018</v>
      </c>
      <c r="F72" s="680">
        <f>ejercicio-1</f>
        <v>2019</v>
      </c>
      <c r="G72" s="680">
        <f>ejercicio</f>
        <v>2020</v>
      </c>
      <c r="H72" s="1380"/>
      <c r="I72" s="1381"/>
      <c r="J72" s="1381"/>
      <c r="K72" s="1381"/>
      <c r="L72" s="1381"/>
      <c r="M72" s="1382"/>
      <c r="N72" s="627"/>
      <c r="P72" s="422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  <c r="AC72" s="424"/>
    </row>
    <row r="73" spans="2:29" s="660" customFormat="1" ht="23" customHeight="1" x14ac:dyDescent="0.2">
      <c r="B73" s="629"/>
      <c r="C73" s="652" t="s">
        <v>680</v>
      </c>
      <c r="D73" s="653"/>
      <c r="E73" s="654">
        <f>SUM(E74:E76)</f>
        <v>109622.99</v>
      </c>
      <c r="F73" s="654">
        <f>SUM(F74:F76)</f>
        <v>62721.06</v>
      </c>
      <c r="G73" s="654">
        <f>SUM(G74:G76)</f>
        <v>198000</v>
      </c>
      <c r="H73" s="684"/>
      <c r="I73" s="685"/>
      <c r="J73" s="685"/>
      <c r="K73" s="685"/>
      <c r="L73" s="685"/>
      <c r="M73" s="686"/>
      <c r="N73" s="627"/>
      <c r="P73" s="422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  <c r="AC73" s="424"/>
    </row>
    <row r="74" spans="2:29" s="660" customFormat="1" ht="23" customHeight="1" x14ac:dyDescent="0.2">
      <c r="B74" s="629"/>
      <c r="C74" s="687" t="s">
        <v>681</v>
      </c>
      <c r="D74" s="688"/>
      <c r="E74" s="513"/>
      <c r="F74" s="513"/>
      <c r="G74" s="513"/>
      <c r="H74" s="535"/>
      <c r="I74" s="530"/>
      <c r="J74" s="530"/>
      <c r="K74" s="530"/>
      <c r="L74" s="530"/>
      <c r="M74" s="536"/>
      <c r="N74" s="627"/>
      <c r="P74" s="422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  <c r="AC74" s="424"/>
    </row>
    <row r="75" spans="2:29" s="660" customFormat="1" ht="23" customHeight="1" x14ac:dyDescent="0.2">
      <c r="B75" s="629"/>
      <c r="C75" s="689" t="s">
        <v>682</v>
      </c>
      <c r="D75" s="663"/>
      <c r="E75" s="514">
        <v>109622.99</v>
      </c>
      <c r="F75" s="514">
        <v>62721.06</v>
      </c>
      <c r="G75" s="514">
        <v>198000</v>
      </c>
      <c r="H75" s="540"/>
      <c r="I75" s="703"/>
      <c r="J75" s="703"/>
      <c r="K75" s="703"/>
      <c r="L75" s="703"/>
      <c r="M75" s="537"/>
      <c r="N75" s="627"/>
      <c r="P75" s="422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  <c r="AC75" s="424"/>
    </row>
    <row r="76" spans="2:29" s="660" customFormat="1" ht="23" customHeight="1" x14ac:dyDescent="0.2">
      <c r="B76" s="629"/>
      <c r="C76" s="690" t="s">
        <v>683</v>
      </c>
      <c r="D76" s="691"/>
      <c r="E76" s="515"/>
      <c r="F76" s="515"/>
      <c r="G76" s="515"/>
      <c r="H76" s="706"/>
      <c r="I76" s="707"/>
      <c r="J76" s="707"/>
      <c r="K76" s="707"/>
      <c r="L76" s="707"/>
      <c r="M76" s="500"/>
      <c r="N76" s="627"/>
      <c r="P76" s="422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4"/>
    </row>
    <row r="77" spans="2:29" s="657" customFormat="1" ht="23" customHeight="1" x14ac:dyDescent="0.2">
      <c r="B77" s="651"/>
      <c r="C77" s="652" t="s">
        <v>689</v>
      </c>
      <c r="D77" s="653"/>
      <c r="E77" s="654">
        <f>SUM(E78:E83)</f>
        <v>2035021.8399999999</v>
      </c>
      <c r="F77" s="654">
        <f>SUM(F78:F83)</f>
        <v>2210125.9900000002</v>
      </c>
      <c r="G77" s="654">
        <f>SUM(G78:G83)</f>
        <v>1528883.75</v>
      </c>
      <c r="H77" s="684"/>
      <c r="I77" s="685"/>
      <c r="J77" s="685"/>
      <c r="K77" s="685"/>
      <c r="L77" s="685"/>
      <c r="M77" s="686"/>
      <c r="N77" s="692"/>
      <c r="P77" s="422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4"/>
    </row>
    <row r="78" spans="2:29" s="660" customFormat="1" ht="23" customHeight="1" x14ac:dyDescent="0.2">
      <c r="B78" s="629"/>
      <c r="C78" s="687" t="s">
        <v>684</v>
      </c>
      <c r="D78" s="688"/>
      <c r="E78" s="581"/>
      <c r="F78" s="581"/>
      <c r="G78" s="581"/>
      <c r="H78" s="535"/>
      <c r="I78" s="530"/>
      <c r="J78" s="530"/>
      <c r="K78" s="530"/>
      <c r="L78" s="530"/>
      <c r="M78" s="536"/>
      <c r="N78" s="627"/>
      <c r="P78" s="422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4"/>
    </row>
    <row r="79" spans="2:29" s="660" customFormat="1" ht="23" customHeight="1" x14ac:dyDescent="0.2">
      <c r="B79" s="629"/>
      <c r="C79" s="689" t="s">
        <v>685</v>
      </c>
      <c r="D79" s="663"/>
      <c r="E79" s="583"/>
      <c r="F79" s="583"/>
      <c r="G79" s="583"/>
      <c r="H79" s="540"/>
      <c r="I79" s="703"/>
      <c r="J79" s="703"/>
      <c r="K79" s="703"/>
      <c r="L79" s="703"/>
      <c r="M79" s="537"/>
      <c r="N79" s="627"/>
      <c r="P79" s="422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  <c r="AC79" s="424"/>
    </row>
    <row r="80" spans="2:29" s="660" customFormat="1" ht="23" customHeight="1" x14ac:dyDescent="0.2">
      <c r="B80" s="629"/>
      <c r="C80" s="689" t="s">
        <v>686</v>
      </c>
      <c r="D80" s="663"/>
      <c r="E80" s="583"/>
      <c r="F80" s="583"/>
      <c r="G80" s="583"/>
      <c r="H80" s="540"/>
      <c r="I80" s="703"/>
      <c r="J80" s="703"/>
      <c r="K80" s="703"/>
      <c r="L80" s="703"/>
      <c r="M80" s="537"/>
      <c r="N80" s="627"/>
      <c r="P80" s="422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  <c r="AC80" s="424"/>
    </row>
    <row r="81" spans="2:29" s="660" customFormat="1" ht="23" customHeight="1" x14ac:dyDescent="0.2">
      <c r="B81" s="629"/>
      <c r="C81" s="689" t="s">
        <v>687</v>
      </c>
      <c r="D81" s="663"/>
      <c r="E81" s="583">
        <f>1999519.39-E82</f>
        <v>1997354.75</v>
      </c>
      <c r="F81" s="583">
        <v>2210125.9900000002</v>
      </c>
      <c r="G81" s="583">
        <f>1558883.75-30000</f>
        <v>1528883.75</v>
      </c>
      <c r="H81" s="540"/>
      <c r="I81" s="703"/>
      <c r="J81" s="703"/>
      <c r="K81" s="703"/>
      <c r="L81" s="703"/>
      <c r="M81" s="537"/>
      <c r="N81" s="627"/>
      <c r="P81" s="422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  <c r="AC81" s="424"/>
    </row>
    <row r="82" spans="2:29" s="660" customFormat="1" ht="23" customHeight="1" x14ac:dyDescent="0.2">
      <c r="B82" s="629"/>
      <c r="C82" s="693" t="s">
        <v>706</v>
      </c>
      <c r="D82" s="663"/>
      <c r="E82" s="583">
        <f>1308.64+856</f>
        <v>2164.6400000000003</v>
      </c>
      <c r="F82" s="583"/>
      <c r="G82" s="583"/>
      <c r="H82" s="540"/>
      <c r="I82" s="703"/>
      <c r="J82" s="703"/>
      <c r="K82" s="703"/>
      <c r="L82" s="703"/>
      <c r="M82" s="537"/>
      <c r="N82" s="627"/>
      <c r="P82" s="422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  <c r="AC82" s="424"/>
    </row>
    <row r="83" spans="2:29" s="660" customFormat="1" ht="23" customHeight="1" x14ac:dyDescent="0.2">
      <c r="B83" s="629"/>
      <c r="C83" s="661" t="s">
        <v>688</v>
      </c>
      <c r="D83" s="662"/>
      <c r="E83" s="584">
        <v>35502.449999999997</v>
      </c>
      <c r="F83" s="584"/>
      <c r="G83" s="584"/>
      <c r="H83" s="538"/>
      <c r="I83" s="531"/>
      <c r="J83" s="531"/>
      <c r="K83" s="531"/>
      <c r="L83" s="531"/>
      <c r="M83" s="539"/>
      <c r="N83" s="627"/>
      <c r="P83" s="422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4"/>
    </row>
    <row r="84" spans="2:29" s="660" customFormat="1" ht="23" customHeight="1" x14ac:dyDescent="0.2">
      <c r="B84" s="629"/>
      <c r="C84" s="677"/>
      <c r="D84" s="677"/>
      <c r="E84" s="678"/>
      <c r="F84" s="678"/>
      <c r="G84" s="678"/>
      <c r="H84" s="678"/>
      <c r="I84" s="678"/>
      <c r="J84" s="678"/>
      <c r="K84" s="678"/>
      <c r="L84" s="678"/>
      <c r="M84" s="678"/>
      <c r="N84" s="627"/>
      <c r="P84" s="422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  <c r="AC84" s="424"/>
    </row>
    <row r="85" spans="2:29" s="660" customFormat="1" ht="23" customHeight="1" x14ac:dyDescent="0.2">
      <c r="B85" s="629"/>
      <c r="C85" s="1386" t="s">
        <v>723</v>
      </c>
      <c r="D85" s="1387"/>
      <c r="E85" s="1388"/>
      <c r="F85" s="772" t="s">
        <v>411</v>
      </c>
      <c r="G85" s="679" t="s">
        <v>178</v>
      </c>
      <c r="H85" s="1384" t="s">
        <v>567</v>
      </c>
      <c r="I85" s="1384"/>
      <c r="J85" s="1384"/>
      <c r="K85" s="1384"/>
      <c r="L85" s="1384"/>
      <c r="M85" s="1384"/>
      <c r="N85" s="627"/>
      <c r="P85" s="422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  <c r="AC85" s="424"/>
    </row>
    <row r="86" spans="2:29" s="660" customFormat="1" ht="43.25" customHeight="1" x14ac:dyDescent="0.2">
      <c r="B86" s="629"/>
      <c r="C86" s="1389"/>
      <c r="D86" s="1390"/>
      <c r="E86" s="1391"/>
      <c r="F86" s="773" t="s">
        <v>724</v>
      </c>
      <c r="G86" s="680">
        <f>ejercicio</f>
        <v>2020</v>
      </c>
      <c r="H86" s="1385"/>
      <c r="I86" s="1385"/>
      <c r="J86" s="1385"/>
      <c r="K86" s="1385"/>
      <c r="L86" s="1385"/>
      <c r="M86" s="1385"/>
      <c r="N86" s="627"/>
      <c r="P86" s="422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  <c r="AC86" s="424"/>
    </row>
    <row r="87" spans="2:29" s="660" customFormat="1" ht="23" customHeight="1" thickBot="1" x14ac:dyDescent="0.25">
      <c r="B87" s="629"/>
      <c r="C87" s="672" t="s">
        <v>728</v>
      </c>
      <c r="D87" s="777"/>
      <c r="E87" s="778"/>
      <c r="F87" s="674"/>
      <c r="G87" s="674">
        <f>SUM(G88:G90)</f>
        <v>0</v>
      </c>
      <c r="H87" s="681"/>
      <c r="I87" s="682"/>
      <c r="J87" s="682"/>
      <c r="K87" s="682"/>
      <c r="L87" s="682"/>
      <c r="M87" s="683"/>
      <c r="N87" s="627"/>
      <c r="P87" s="422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  <c r="AC87" s="424"/>
    </row>
    <row r="88" spans="2:29" s="660" customFormat="1" ht="23" customHeight="1" x14ac:dyDescent="0.2">
      <c r="B88" s="629"/>
      <c r="C88" s="1392" t="s">
        <v>725</v>
      </c>
      <c r="D88" s="1393"/>
      <c r="E88" s="1394"/>
      <c r="F88" s="818"/>
      <c r="G88" s="513"/>
      <c r="H88" s="779"/>
      <c r="I88" s="530"/>
      <c r="J88" s="530"/>
      <c r="K88" s="530"/>
      <c r="L88" s="530"/>
      <c r="M88" s="715"/>
      <c r="N88" s="627"/>
      <c r="P88" s="422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  <c r="AC88" s="424"/>
    </row>
    <row r="89" spans="2:29" s="660" customFormat="1" ht="23" customHeight="1" x14ac:dyDescent="0.2">
      <c r="B89" s="629"/>
      <c r="C89" s="774" t="s">
        <v>726</v>
      </c>
      <c r="D89" s="775"/>
      <c r="E89" s="776"/>
      <c r="F89" s="818"/>
      <c r="G89" s="513"/>
      <c r="H89" s="714"/>
      <c r="I89" s="530"/>
      <c r="J89" s="530"/>
      <c r="K89" s="530"/>
      <c r="L89" s="530"/>
      <c r="M89" s="715"/>
      <c r="N89" s="627"/>
      <c r="P89" s="422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4"/>
    </row>
    <row r="90" spans="2:29" s="660" customFormat="1" ht="23" customHeight="1" x14ac:dyDescent="0.2">
      <c r="B90" s="629"/>
      <c r="C90" s="1395" t="s">
        <v>727</v>
      </c>
      <c r="D90" s="1396"/>
      <c r="E90" s="1397"/>
      <c r="F90" s="819"/>
      <c r="G90" s="514"/>
      <c r="H90" s="716"/>
      <c r="I90" s="703"/>
      <c r="J90" s="703"/>
      <c r="K90" s="703"/>
      <c r="L90" s="703"/>
      <c r="M90" s="717"/>
      <c r="N90" s="627"/>
      <c r="P90" s="422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  <c r="AC90" s="424"/>
    </row>
    <row r="91" spans="2:29" s="660" customFormat="1" ht="23" customHeight="1" x14ac:dyDescent="0.2">
      <c r="B91" s="629"/>
      <c r="C91" s="766"/>
      <c r="D91" s="677"/>
      <c r="E91" s="767"/>
      <c r="F91" s="767"/>
      <c r="G91" s="767"/>
      <c r="H91" s="768"/>
      <c r="I91" s="768"/>
      <c r="J91" s="768"/>
      <c r="K91" s="768"/>
      <c r="L91" s="768"/>
      <c r="M91" s="768"/>
      <c r="N91" s="627"/>
      <c r="P91" s="422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  <c r="AC91" s="424"/>
    </row>
    <row r="92" spans="2:29" s="660" customFormat="1" ht="23" customHeight="1" x14ac:dyDescent="0.2">
      <c r="B92" s="629"/>
      <c r="C92" s="769" t="s">
        <v>405</v>
      </c>
      <c r="D92" s="770"/>
      <c r="E92" s="678"/>
      <c r="F92" s="678"/>
      <c r="G92" s="678"/>
      <c r="H92" s="678"/>
      <c r="I92" s="678"/>
      <c r="J92" s="678"/>
      <c r="K92" s="678"/>
      <c r="L92" s="678"/>
      <c r="M92" s="678"/>
      <c r="N92" s="627"/>
      <c r="P92" s="422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  <c r="AC92" s="424"/>
    </row>
    <row r="93" spans="2:29" s="660" customFormat="1" ht="23" customHeight="1" x14ac:dyDescent="0.2">
      <c r="B93" s="629"/>
      <c r="C93" s="770" t="s">
        <v>903</v>
      </c>
      <c r="D93" s="770"/>
      <c r="E93" s="696"/>
      <c r="F93" s="696"/>
      <c r="G93" s="696"/>
      <c r="H93" s="696"/>
      <c r="I93" s="696"/>
      <c r="J93" s="696"/>
      <c r="K93" s="696"/>
      <c r="L93" s="696"/>
      <c r="M93" s="696"/>
      <c r="N93" s="627"/>
      <c r="P93" s="422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  <c r="AC93" s="424"/>
    </row>
    <row r="94" spans="2:29" s="660" customFormat="1" ht="23" customHeight="1" x14ac:dyDescent="0.2">
      <c r="B94" s="629"/>
      <c r="C94" s="771" t="s">
        <v>1003</v>
      </c>
      <c r="D94" s="770"/>
      <c r="E94" s="696"/>
      <c r="F94" s="696"/>
      <c r="G94" s="696"/>
      <c r="H94" s="696"/>
      <c r="I94" s="696"/>
      <c r="J94" s="696"/>
      <c r="K94" s="696"/>
      <c r="L94" s="696"/>
      <c r="M94" s="696"/>
      <c r="N94" s="627"/>
      <c r="P94" s="422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  <c r="AC94" s="424"/>
    </row>
    <row r="95" spans="2:29" s="660" customFormat="1" ht="23" customHeight="1" x14ac:dyDescent="0.2">
      <c r="B95" s="629"/>
      <c r="C95" s="771" t="s">
        <v>767</v>
      </c>
      <c r="D95" s="770"/>
      <c r="E95" s="696"/>
      <c r="F95" s="696"/>
      <c r="G95" s="696"/>
      <c r="H95" s="696"/>
      <c r="I95" s="696"/>
      <c r="J95" s="696"/>
      <c r="K95" s="696"/>
      <c r="L95" s="696"/>
      <c r="M95" s="696"/>
      <c r="N95" s="627"/>
      <c r="P95" s="422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  <c r="AC95" s="424"/>
    </row>
    <row r="96" spans="2:29" ht="23" customHeight="1" thickBot="1" x14ac:dyDescent="0.2">
      <c r="B96" s="697"/>
      <c r="C96" s="1369"/>
      <c r="D96" s="1369"/>
      <c r="E96" s="1369"/>
      <c r="F96" s="1369"/>
      <c r="G96" s="698"/>
      <c r="H96" s="698"/>
      <c r="I96" s="698"/>
      <c r="J96" s="698"/>
      <c r="K96" s="698"/>
      <c r="L96" s="698"/>
      <c r="M96" s="698"/>
      <c r="N96" s="699"/>
      <c r="P96" s="425"/>
      <c r="Q96" s="426"/>
      <c r="R96" s="426"/>
      <c r="S96" s="426"/>
      <c r="T96" s="426"/>
      <c r="U96" s="426"/>
      <c r="V96" s="426"/>
      <c r="W96" s="426"/>
      <c r="X96" s="426"/>
      <c r="Y96" s="426"/>
      <c r="Z96" s="426"/>
      <c r="AA96" s="426"/>
      <c r="AB96" s="426"/>
      <c r="AC96" s="427"/>
    </row>
    <row r="97" spans="3:15" ht="23" customHeight="1" x14ac:dyDescent="0.15">
      <c r="C97" s="624"/>
      <c r="D97" s="624"/>
      <c r="E97" s="625"/>
      <c r="F97" s="625"/>
      <c r="G97" s="625"/>
      <c r="H97" s="625"/>
      <c r="I97" s="625"/>
      <c r="J97" s="625"/>
      <c r="K97" s="625"/>
      <c r="L97" s="625"/>
      <c r="M97" s="625"/>
      <c r="O97" s="615" t="s">
        <v>936</v>
      </c>
    </row>
    <row r="98" spans="3:15" ht="13" x14ac:dyDescent="0.15">
      <c r="C98" s="700" t="s">
        <v>70</v>
      </c>
      <c r="D98" s="624"/>
      <c r="E98" s="625"/>
      <c r="F98" s="625"/>
      <c r="G98" s="625"/>
      <c r="H98" s="625"/>
      <c r="I98" s="625"/>
      <c r="J98" s="625"/>
      <c r="K98" s="625"/>
      <c r="L98" s="625"/>
      <c r="M98" s="701" t="s">
        <v>46</v>
      </c>
    </row>
    <row r="99" spans="3:15" ht="13" x14ac:dyDescent="0.15">
      <c r="C99" s="702" t="s">
        <v>71</v>
      </c>
      <c r="D99" s="624"/>
      <c r="E99" s="625"/>
      <c r="F99" s="625"/>
      <c r="G99" s="625"/>
      <c r="H99" s="625"/>
      <c r="I99" s="625"/>
      <c r="J99" s="625"/>
      <c r="K99" s="625"/>
      <c r="L99" s="625"/>
      <c r="M99" s="625"/>
    </row>
    <row r="100" spans="3:15" ht="13" x14ac:dyDescent="0.15">
      <c r="C100" s="702" t="s">
        <v>72</v>
      </c>
      <c r="D100" s="624"/>
      <c r="E100" s="625"/>
      <c r="F100" s="625"/>
      <c r="G100" s="625"/>
      <c r="H100" s="625"/>
      <c r="I100" s="625"/>
      <c r="J100" s="625"/>
      <c r="K100" s="625"/>
      <c r="L100" s="625"/>
      <c r="M100" s="625"/>
    </row>
    <row r="101" spans="3:15" ht="13" x14ac:dyDescent="0.15">
      <c r="C101" s="702" t="s">
        <v>73</v>
      </c>
      <c r="D101" s="624"/>
      <c r="E101" s="625"/>
      <c r="F101" s="625"/>
      <c r="G101" s="625"/>
      <c r="H101" s="625"/>
      <c r="I101" s="625"/>
      <c r="J101" s="625"/>
      <c r="K101" s="625"/>
      <c r="L101" s="625"/>
      <c r="M101" s="625"/>
    </row>
    <row r="102" spans="3:15" ht="13" x14ac:dyDescent="0.15">
      <c r="C102" s="702" t="s">
        <v>74</v>
      </c>
      <c r="D102" s="624"/>
      <c r="E102" s="625"/>
      <c r="F102" s="625"/>
      <c r="G102" s="625"/>
      <c r="H102" s="625"/>
      <c r="I102" s="625"/>
      <c r="J102" s="625"/>
      <c r="K102" s="625"/>
      <c r="L102" s="625"/>
      <c r="M102" s="625"/>
    </row>
    <row r="103" spans="3:15" ht="23" customHeight="1" x14ac:dyDescent="0.15">
      <c r="C103" s="624"/>
      <c r="D103" s="624"/>
      <c r="E103" s="625"/>
      <c r="F103" s="625"/>
      <c r="G103" s="625"/>
      <c r="H103" s="625"/>
      <c r="I103" s="625"/>
      <c r="J103" s="625"/>
      <c r="K103" s="625"/>
      <c r="L103" s="625"/>
      <c r="M103" s="625"/>
    </row>
    <row r="104" spans="3:15" ht="23" customHeight="1" x14ac:dyDescent="0.15">
      <c r="C104" s="624"/>
      <c r="D104" s="624"/>
      <c r="E104" s="625"/>
      <c r="F104" s="625"/>
      <c r="G104" s="625"/>
      <c r="H104" s="625"/>
      <c r="I104" s="625"/>
      <c r="J104" s="625"/>
      <c r="K104" s="625"/>
      <c r="L104" s="625"/>
      <c r="M104" s="625"/>
    </row>
    <row r="105" spans="3:15" ht="23" customHeight="1" x14ac:dyDescent="0.15">
      <c r="C105" s="624"/>
      <c r="D105" s="624"/>
      <c r="E105" s="625"/>
      <c r="F105" s="625"/>
      <c r="G105" s="625"/>
      <c r="H105" s="625"/>
      <c r="I105" s="625"/>
      <c r="J105" s="625"/>
      <c r="K105" s="625"/>
      <c r="L105" s="625"/>
      <c r="M105" s="625"/>
    </row>
    <row r="106" spans="3:15" ht="23" customHeight="1" x14ac:dyDescent="0.15">
      <c r="C106" s="624"/>
      <c r="D106" s="624"/>
      <c r="E106" s="625"/>
      <c r="F106" s="625"/>
      <c r="G106" s="625"/>
      <c r="H106" s="625"/>
      <c r="I106" s="625"/>
      <c r="J106" s="625"/>
      <c r="K106" s="625"/>
      <c r="L106" s="625"/>
      <c r="M106" s="625"/>
    </row>
    <row r="107" spans="3:15" ht="23" customHeight="1" x14ac:dyDescent="0.15">
      <c r="F107" s="625"/>
      <c r="G107" s="625"/>
      <c r="H107" s="625"/>
      <c r="I107" s="625"/>
      <c r="J107" s="625"/>
      <c r="K107" s="625"/>
      <c r="L107" s="625"/>
      <c r="M107" s="625"/>
    </row>
  </sheetData>
  <sheetProtection sheet="1" insertRows="0"/>
  <mergeCells count="11">
    <mergeCell ref="C96:F96"/>
    <mergeCell ref="H45:M46"/>
    <mergeCell ref="H66:M67"/>
    <mergeCell ref="M6:M7"/>
    <mergeCell ref="D9:M9"/>
    <mergeCell ref="C12:D12"/>
    <mergeCell ref="H71:M72"/>
    <mergeCell ref="H85:M86"/>
    <mergeCell ref="C85:E86"/>
    <mergeCell ref="C88:E88"/>
    <mergeCell ref="C90:E90"/>
  </mergeCells>
  <phoneticPr fontId="22" type="noConversion"/>
  <printOptions horizontalCentered="1" verticalCentered="1"/>
  <pageMargins left="0.36000000000000004" right="0.36000000000000004" top="0.6100000000000001" bottom="0.6100000000000001" header="0.5" footer="0.5"/>
  <pageSetup paperSize="9" scale="31" orientation="portrait" horizontalDpi="4294967292" verticalDpi="4294967292"/>
  <ignoredErrors>
    <ignoredError sqref="E48:G48 E57:G57 E52:G52 F49:G49 F50:G50 F51:G51 E61:G61 F59:G59 F60:G60" unlockedFormula="1"/>
  </ignoredErrors>
  <drawing r:id="rId1"/>
  <extLst>
    <ext xmlns:mx="http://schemas.microsoft.com/office/mac/excel/2008/main" uri="{64002731-A6B0-56B0-2670-7721B7C09600}">
      <mx:PLV Mode="0" OnePage="0" WScale="23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106"/>
  <sheetViews>
    <sheetView topLeftCell="A52" workbookViewId="0">
      <selection activeCell="G91" sqref="G91"/>
    </sheetView>
  </sheetViews>
  <sheetFormatPr baseColWidth="10" defaultColWidth="10.7109375" defaultRowHeight="23" customHeight="1" x14ac:dyDescent="0.15"/>
  <cols>
    <col min="1" max="1" width="4.28515625" style="41" bestFit="1" customWidth="1"/>
    <col min="2" max="2" width="3.28515625" style="41" customWidth="1"/>
    <col min="3" max="3" width="13.5703125" style="41" customWidth="1"/>
    <col min="4" max="4" width="76.7109375" style="41" customWidth="1"/>
    <col min="5" max="7" width="18.28515625" style="41" customWidth="1"/>
    <col min="8" max="8" width="3.28515625" style="41" customWidth="1"/>
    <col min="9" max="16384" width="10.7109375" style="41"/>
  </cols>
  <sheetData>
    <row r="1" spans="1:23" ht="23" customHeight="1" x14ac:dyDescent="0.15">
      <c r="D1" s="43"/>
    </row>
    <row r="2" spans="1:23" ht="23" customHeight="1" x14ac:dyDescent="0.15">
      <c r="D2" s="311" t="str">
        <f>_GENERAL!D2</f>
        <v>Área de Presidencia, Hacienda y Modernización</v>
      </c>
    </row>
    <row r="3" spans="1:23" ht="23" customHeight="1" x14ac:dyDescent="0.15">
      <c r="D3" s="311" t="str">
        <f>_GENERAL!D3</f>
        <v>Dirección Insular de Hacienda</v>
      </c>
    </row>
    <row r="4" spans="1:23" ht="23" customHeight="1" thickBot="1" x14ac:dyDescent="0.2">
      <c r="A4" s="41" t="s">
        <v>935</v>
      </c>
    </row>
    <row r="5" spans="1:23" ht="9" customHeight="1" x14ac:dyDescent="0.15">
      <c r="B5" s="44"/>
      <c r="C5" s="45"/>
      <c r="D5" s="45"/>
      <c r="E5" s="45"/>
      <c r="F5" s="45"/>
      <c r="G5" s="45"/>
      <c r="H5" s="46"/>
      <c r="J5" s="406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8"/>
    </row>
    <row r="6" spans="1:23" ht="30" customHeight="1" x14ac:dyDescent="0.2">
      <c r="B6" s="47"/>
      <c r="C6" s="1" t="s">
        <v>0</v>
      </c>
      <c r="D6" s="43"/>
      <c r="E6" s="43"/>
      <c r="F6" s="43"/>
      <c r="G6" s="1362">
        <f>ejercicio</f>
        <v>2020</v>
      </c>
      <c r="H6" s="49"/>
      <c r="J6" s="409"/>
      <c r="K6" s="410" t="s">
        <v>677</v>
      </c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2"/>
    </row>
    <row r="7" spans="1:23" ht="30" customHeight="1" x14ac:dyDescent="0.2">
      <c r="B7" s="47"/>
      <c r="C7" s="1" t="s">
        <v>1</v>
      </c>
      <c r="D7" s="43"/>
      <c r="E7" s="43"/>
      <c r="F7" s="43"/>
      <c r="G7" s="1362"/>
      <c r="H7" s="49"/>
      <c r="J7" s="409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  <c r="V7" s="411"/>
      <c r="W7" s="412"/>
    </row>
    <row r="8" spans="1:23" ht="30" customHeight="1" x14ac:dyDescent="0.15">
      <c r="B8" s="47"/>
      <c r="C8" s="48"/>
      <c r="D8" s="43"/>
      <c r="E8" s="43"/>
      <c r="F8" s="43"/>
      <c r="G8" s="50"/>
      <c r="H8" s="49"/>
      <c r="J8" s="409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2"/>
    </row>
    <row r="9" spans="1:23" s="59" customFormat="1" ht="30" customHeight="1" x14ac:dyDescent="0.2">
      <c r="B9" s="57"/>
      <c r="C9" s="38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58"/>
      <c r="J9" s="413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5"/>
    </row>
    <row r="10" spans="1:23" ht="7.25" customHeight="1" x14ac:dyDescent="0.15">
      <c r="B10" s="47"/>
      <c r="C10" s="43"/>
      <c r="D10" s="43"/>
      <c r="E10" s="43"/>
      <c r="F10" s="43"/>
      <c r="G10" s="43"/>
      <c r="H10" s="49"/>
      <c r="J10" s="409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2"/>
    </row>
    <row r="11" spans="1:23" s="61" customFormat="1" ht="30" customHeight="1" x14ac:dyDescent="0.2">
      <c r="B11" s="23"/>
      <c r="C11" s="11" t="s">
        <v>247</v>
      </c>
      <c r="D11" s="11"/>
      <c r="E11" s="11"/>
      <c r="F11" s="11"/>
      <c r="G11" s="11"/>
      <c r="H11" s="60"/>
      <c r="J11" s="416"/>
      <c r="K11" s="417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8"/>
    </row>
    <row r="12" spans="1:23" s="61" customFormat="1" ht="30" customHeight="1" x14ac:dyDescent="0.2">
      <c r="B12" s="23"/>
      <c r="C12" s="65"/>
      <c r="D12" s="65"/>
      <c r="E12" s="65"/>
      <c r="F12" s="65"/>
      <c r="G12" s="65"/>
      <c r="H12" s="60"/>
      <c r="J12" s="416"/>
      <c r="K12" s="417"/>
      <c r="L12" s="417"/>
      <c r="M12" s="417"/>
      <c r="N12" s="417"/>
      <c r="O12" s="417"/>
      <c r="P12" s="417"/>
      <c r="Q12" s="417"/>
      <c r="R12" s="417"/>
      <c r="S12" s="417"/>
      <c r="T12" s="417"/>
      <c r="U12" s="417"/>
      <c r="V12" s="417"/>
      <c r="W12" s="418"/>
    </row>
    <row r="13" spans="1:23" ht="23" customHeight="1" x14ac:dyDescent="0.2">
      <c r="B13" s="47"/>
      <c r="C13" s="330"/>
      <c r="D13" s="331"/>
      <c r="E13" s="332" t="s">
        <v>176</v>
      </c>
      <c r="F13" s="333" t="s">
        <v>177</v>
      </c>
      <c r="G13" s="334" t="s">
        <v>178</v>
      </c>
      <c r="H13" s="49"/>
      <c r="J13" s="409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2"/>
    </row>
    <row r="14" spans="1:23" ht="23" customHeight="1" x14ac:dyDescent="0.25">
      <c r="B14" s="47"/>
      <c r="C14" s="335" t="s">
        <v>243</v>
      </c>
      <c r="D14" s="67"/>
      <c r="E14" s="316">
        <f>ejercicio-2</f>
        <v>2018</v>
      </c>
      <c r="F14" s="323">
        <f>ejercicio-1</f>
        <v>2019</v>
      </c>
      <c r="G14" s="315">
        <f>ejercicio</f>
        <v>2020</v>
      </c>
      <c r="H14" s="49"/>
      <c r="J14" s="409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2"/>
    </row>
    <row r="15" spans="1:23" ht="23" customHeight="1" x14ac:dyDescent="0.2">
      <c r="B15" s="47"/>
      <c r="C15" s="336"/>
      <c r="D15" s="85"/>
      <c r="E15" s="317"/>
      <c r="F15" s="324"/>
      <c r="G15" s="337"/>
      <c r="H15" s="49"/>
      <c r="J15" s="409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2"/>
    </row>
    <row r="16" spans="1:23" ht="23" customHeight="1" x14ac:dyDescent="0.2">
      <c r="B16" s="47"/>
      <c r="C16" s="338" t="s">
        <v>180</v>
      </c>
      <c r="D16" s="83" t="s">
        <v>181</v>
      </c>
      <c r="E16" s="318">
        <f>E17+E26+E30+E33+E40+E47+E48</f>
        <v>9731463.6099999994</v>
      </c>
      <c r="F16" s="325">
        <f>F17+F26+F30+F33+F40+F47+F48</f>
        <v>10103773.359999999</v>
      </c>
      <c r="G16" s="339">
        <f>G17+G26+G30+G33+G40+G47+G48</f>
        <v>10088667.029999999</v>
      </c>
      <c r="H16" s="49"/>
      <c r="J16" s="409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2"/>
    </row>
    <row r="17" spans="2:23" ht="23" customHeight="1" x14ac:dyDescent="0.2">
      <c r="B17" s="47"/>
      <c r="C17" s="340" t="s">
        <v>182</v>
      </c>
      <c r="D17" s="69" t="s">
        <v>183</v>
      </c>
      <c r="E17" s="319">
        <f>SUM(E18:E25)</f>
        <v>2567633.0299999998</v>
      </c>
      <c r="F17" s="326">
        <f>SUM(F18:F25)</f>
        <v>2565317.42</v>
      </c>
      <c r="G17" s="341">
        <f>SUM(G18:G25)</f>
        <v>2563001.81</v>
      </c>
      <c r="H17" s="49"/>
      <c r="J17" s="409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2"/>
    </row>
    <row r="18" spans="2:23" ht="23" customHeight="1" x14ac:dyDescent="0.2">
      <c r="B18" s="47"/>
      <c r="C18" s="342" t="s">
        <v>81</v>
      </c>
      <c r="D18" s="70" t="s">
        <v>184</v>
      </c>
      <c r="E18" s="454"/>
      <c r="F18" s="455"/>
      <c r="G18" s="456"/>
      <c r="H18" s="49"/>
      <c r="J18" s="409"/>
      <c r="K18" s="411"/>
      <c r="L18" s="411"/>
      <c r="M18" s="411"/>
      <c r="N18" s="411"/>
      <c r="O18" s="411"/>
      <c r="P18" s="411"/>
      <c r="Q18" s="411"/>
      <c r="R18" s="411"/>
      <c r="S18" s="411"/>
      <c r="T18" s="411"/>
      <c r="U18" s="411"/>
      <c r="V18" s="411"/>
      <c r="W18" s="412"/>
    </row>
    <row r="19" spans="2:23" ht="23" customHeight="1" x14ac:dyDescent="0.2">
      <c r="B19" s="47"/>
      <c r="C19" s="343" t="s">
        <v>88</v>
      </c>
      <c r="D19" s="71" t="s">
        <v>185</v>
      </c>
      <c r="E19" s="457"/>
      <c r="F19" s="458"/>
      <c r="G19" s="459"/>
      <c r="H19" s="49"/>
      <c r="J19" s="409"/>
      <c r="K19" s="411"/>
      <c r="L19" s="411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2"/>
    </row>
    <row r="20" spans="2:23" ht="23" customHeight="1" x14ac:dyDescent="0.2">
      <c r="B20" s="47"/>
      <c r="C20" s="343" t="s">
        <v>90</v>
      </c>
      <c r="D20" s="71" t="s">
        <v>186</v>
      </c>
      <c r="E20" s="457">
        <v>740.25</v>
      </c>
      <c r="F20" s="458">
        <v>740.25</v>
      </c>
      <c r="G20" s="459">
        <v>740.25</v>
      </c>
      <c r="H20" s="49"/>
      <c r="J20" s="409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2"/>
    </row>
    <row r="21" spans="2:23" ht="23" customHeight="1" x14ac:dyDescent="0.2">
      <c r="B21" s="47"/>
      <c r="C21" s="343" t="s">
        <v>92</v>
      </c>
      <c r="D21" s="71" t="s">
        <v>187</v>
      </c>
      <c r="E21" s="457"/>
      <c r="F21" s="458"/>
      <c r="G21" s="459"/>
      <c r="H21" s="49"/>
      <c r="J21" s="409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2"/>
    </row>
    <row r="22" spans="2:23" ht="23" customHeight="1" x14ac:dyDescent="0.2">
      <c r="B22" s="47"/>
      <c r="C22" s="343" t="s">
        <v>188</v>
      </c>
      <c r="D22" s="71" t="s">
        <v>189</v>
      </c>
      <c r="E22" s="457">
        <v>27824</v>
      </c>
      <c r="F22" s="458">
        <v>27824</v>
      </c>
      <c r="G22" s="459">
        <v>27824</v>
      </c>
      <c r="H22" s="49"/>
      <c r="J22" s="409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2"/>
    </row>
    <row r="23" spans="2:23" ht="23" customHeight="1" x14ac:dyDescent="0.2">
      <c r="B23" s="47"/>
      <c r="C23" s="343" t="s">
        <v>102</v>
      </c>
      <c r="D23" s="71" t="s">
        <v>190</v>
      </c>
      <c r="E23" s="457"/>
      <c r="F23" s="458"/>
      <c r="G23" s="459"/>
      <c r="H23" s="49"/>
      <c r="J23" s="409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2"/>
    </row>
    <row r="24" spans="2:23" ht="23" customHeight="1" x14ac:dyDescent="0.2">
      <c r="B24" s="47"/>
      <c r="C24" s="343" t="s">
        <v>107</v>
      </c>
      <c r="D24" s="71" t="s">
        <v>242</v>
      </c>
      <c r="E24" s="457"/>
      <c r="F24" s="458"/>
      <c r="G24" s="459"/>
      <c r="H24" s="49"/>
      <c r="J24" s="409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2"/>
    </row>
    <row r="25" spans="2:23" ht="23" customHeight="1" x14ac:dyDescent="0.2">
      <c r="B25" s="47"/>
      <c r="C25" s="343" t="s">
        <v>115</v>
      </c>
      <c r="D25" s="71" t="s">
        <v>191</v>
      </c>
      <c r="E25" s="457">
        <f>2560000-20931.22</f>
        <v>2539068.7799999998</v>
      </c>
      <c r="F25" s="458">
        <f>2560000-23246.83</f>
        <v>2536753.17</v>
      </c>
      <c r="G25" s="459">
        <f>2560000-25562.44</f>
        <v>2534437.56</v>
      </c>
      <c r="H25" s="49"/>
      <c r="J25" s="409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2"/>
    </row>
    <row r="26" spans="2:23" ht="23" customHeight="1" x14ac:dyDescent="0.2">
      <c r="B26" s="47"/>
      <c r="C26" s="340" t="s">
        <v>192</v>
      </c>
      <c r="D26" s="69" t="s">
        <v>193</v>
      </c>
      <c r="E26" s="319">
        <f>SUM(E27:E29)</f>
        <v>7100858.9100000001</v>
      </c>
      <c r="F26" s="326">
        <f>SUM(F27:F29)</f>
        <v>7535484.2699999996</v>
      </c>
      <c r="G26" s="341">
        <f>SUM(G27:G29)</f>
        <v>7522693.5499999998</v>
      </c>
      <c r="H26" s="49"/>
      <c r="J26" s="409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2"/>
    </row>
    <row r="27" spans="2:23" ht="23" customHeight="1" x14ac:dyDescent="0.2">
      <c r="B27" s="47"/>
      <c r="C27" s="342" t="s">
        <v>81</v>
      </c>
      <c r="D27" s="70" t="s">
        <v>194</v>
      </c>
      <c r="E27" s="454"/>
      <c r="F27" s="455"/>
      <c r="G27" s="456"/>
      <c r="H27" s="49"/>
      <c r="J27" s="409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2"/>
    </row>
    <row r="28" spans="2:23" ht="23" customHeight="1" x14ac:dyDescent="0.2">
      <c r="B28" s="47"/>
      <c r="C28" s="343" t="s">
        <v>88</v>
      </c>
      <c r="D28" s="71" t="s">
        <v>195</v>
      </c>
      <c r="E28" s="457">
        <v>7100858.9100000001</v>
      </c>
      <c r="F28" s="458">
        <v>7535484.2699999996</v>
      </c>
      <c r="G28" s="459">
        <f>7492693.55+30000</f>
        <v>7522693.5499999998</v>
      </c>
      <c r="H28" s="49"/>
      <c r="J28" s="409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2"/>
    </row>
    <row r="29" spans="2:23" ht="23" customHeight="1" x14ac:dyDescent="0.2">
      <c r="B29" s="47"/>
      <c r="C29" s="343" t="s">
        <v>90</v>
      </c>
      <c r="D29" s="71" t="s">
        <v>196</v>
      </c>
      <c r="E29" s="457"/>
      <c r="F29" s="458"/>
      <c r="G29" s="459"/>
      <c r="H29" s="49"/>
      <c r="J29" s="409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2"/>
    </row>
    <row r="30" spans="2:23" ht="23" customHeight="1" x14ac:dyDescent="0.2">
      <c r="B30" s="47"/>
      <c r="C30" s="340" t="s">
        <v>197</v>
      </c>
      <c r="D30" s="69" t="s">
        <v>198</v>
      </c>
      <c r="E30" s="319">
        <f>SUM(E31:E32)</f>
        <v>0</v>
      </c>
      <c r="F30" s="326">
        <f>SUM(F31:F32)</f>
        <v>0</v>
      </c>
      <c r="G30" s="341">
        <f>SUM(G31:G32)</f>
        <v>0</v>
      </c>
      <c r="H30" s="49"/>
      <c r="J30" s="419"/>
      <c r="K30" s="420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1"/>
    </row>
    <row r="31" spans="2:23" ht="23" customHeight="1" x14ac:dyDescent="0.2">
      <c r="B31" s="47"/>
      <c r="C31" s="342" t="s">
        <v>81</v>
      </c>
      <c r="D31" s="70" t="s">
        <v>199</v>
      </c>
      <c r="E31" s="454"/>
      <c r="F31" s="455"/>
      <c r="G31" s="456"/>
      <c r="H31" s="49"/>
      <c r="J31" s="419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1"/>
    </row>
    <row r="32" spans="2:23" ht="23" customHeight="1" x14ac:dyDescent="0.2">
      <c r="B32" s="47"/>
      <c r="C32" s="343" t="s">
        <v>88</v>
      </c>
      <c r="D32" s="71" t="s">
        <v>200</v>
      </c>
      <c r="E32" s="457"/>
      <c r="F32" s="458"/>
      <c r="G32" s="459"/>
      <c r="H32" s="49"/>
      <c r="J32" s="409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2"/>
    </row>
    <row r="33" spans="2:23" ht="23" customHeight="1" x14ac:dyDescent="0.2">
      <c r="B33" s="47"/>
      <c r="C33" s="340" t="s">
        <v>201</v>
      </c>
      <c r="D33" s="69" t="s">
        <v>202</v>
      </c>
      <c r="E33" s="319">
        <f>SUM(E34:E39)</f>
        <v>0</v>
      </c>
      <c r="F33" s="326">
        <f>SUM(F34:F39)</f>
        <v>0</v>
      </c>
      <c r="G33" s="341">
        <f>SUM(G34:G39)</f>
        <v>0</v>
      </c>
      <c r="H33" s="49"/>
      <c r="J33" s="409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2"/>
    </row>
    <row r="34" spans="2:23" ht="23" customHeight="1" x14ac:dyDescent="0.2">
      <c r="B34" s="47"/>
      <c r="C34" s="342" t="s">
        <v>81</v>
      </c>
      <c r="D34" s="70" t="s">
        <v>203</v>
      </c>
      <c r="E34" s="454"/>
      <c r="F34" s="455"/>
      <c r="G34" s="456"/>
      <c r="H34" s="49"/>
      <c r="J34" s="409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2"/>
    </row>
    <row r="35" spans="2:23" ht="23" customHeight="1" x14ac:dyDescent="0.2">
      <c r="B35" s="47"/>
      <c r="C35" s="343" t="s">
        <v>88</v>
      </c>
      <c r="D35" s="71" t="s">
        <v>204</v>
      </c>
      <c r="E35" s="457"/>
      <c r="F35" s="458"/>
      <c r="G35" s="459"/>
      <c r="H35" s="49"/>
      <c r="J35" s="409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2"/>
    </row>
    <row r="36" spans="2:23" ht="23" customHeight="1" x14ac:dyDescent="0.2">
      <c r="B36" s="47"/>
      <c r="C36" s="343" t="s">
        <v>90</v>
      </c>
      <c r="D36" s="71" t="s">
        <v>205</v>
      </c>
      <c r="E36" s="457"/>
      <c r="F36" s="458"/>
      <c r="G36" s="459"/>
      <c r="H36" s="49"/>
      <c r="J36" s="422"/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4"/>
    </row>
    <row r="37" spans="2:23" ht="23" customHeight="1" x14ac:dyDescent="0.2">
      <c r="B37" s="47"/>
      <c r="C37" s="343" t="s">
        <v>92</v>
      </c>
      <c r="D37" s="71" t="s">
        <v>206</v>
      </c>
      <c r="E37" s="457"/>
      <c r="F37" s="458"/>
      <c r="G37" s="459"/>
      <c r="H37" s="49"/>
      <c r="J37" s="422"/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4"/>
    </row>
    <row r="38" spans="2:23" ht="23" customHeight="1" x14ac:dyDescent="0.2">
      <c r="B38" s="47"/>
      <c r="C38" s="343" t="s">
        <v>188</v>
      </c>
      <c r="D38" s="71" t="s">
        <v>207</v>
      </c>
      <c r="E38" s="457"/>
      <c r="F38" s="458"/>
      <c r="G38" s="459"/>
      <c r="H38" s="49"/>
      <c r="J38" s="422"/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4"/>
    </row>
    <row r="39" spans="2:23" ht="23" customHeight="1" x14ac:dyDescent="0.2">
      <c r="B39" s="47"/>
      <c r="C39" s="343" t="s">
        <v>102</v>
      </c>
      <c r="D39" s="71" t="s">
        <v>208</v>
      </c>
      <c r="E39" s="457"/>
      <c r="F39" s="458"/>
      <c r="G39" s="459"/>
      <c r="H39" s="49"/>
      <c r="J39" s="422"/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4"/>
    </row>
    <row r="40" spans="2:23" ht="23" customHeight="1" x14ac:dyDescent="0.2">
      <c r="B40" s="47"/>
      <c r="C40" s="340" t="s">
        <v>209</v>
      </c>
      <c r="D40" s="69" t="s">
        <v>210</v>
      </c>
      <c r="E40" s="319">
        <f>SUM(E41:E46)</f>
        <v>62971.67</v>
      </c>
      <c r="F40" s="326">
        <f>SUM(F41:F46)</f>
        <v>2971.67</v>
      </c>
      <c r="G40" s="341">
        <f>SUM(G41:G46)</f>
        <v>2971.67</v>
      </c>
      <c r="H40" s="49"/>
      <c r="J40" s="422"/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4"/>
    </row>
    <row r="41" spans="2:23" ht="23" customHeight="1" x14ac:dyDescent="0.2">
      <c r="B41" s="47"/>
      <c r="C41" s="342" t="s">
        <v>81</v>
      </c>
      <c r="D41" s="70" t="s">
        <v>203</v>
      </c>
      <c r="E41" s="454"/>
      <c r="F41" s="455"/>
      <c r="G41" s="456"/>
      <c r="H41" s="49"/>
      <c r="J41" s="422"/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4"/>
    </row>
    <row r="42" spans="2:23" ht="23" customHeight="1" x14ac:dyDescent="0.2">
      <c r="B42" s="47"/>
      <c r="C42" s="343" t="s">
        <v>88</v>
      </c>
      <c r="D42" s="71" t="s">
        <v>211</v>
      </c>
      <c r="E42" s="457"/>
      <c r="F42" s="458"/>
      <c r="G42" s="459"/>
      <c r="H42" s="49"/>
      <c r="J42" s="1237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4"/>
    </row>
    <row r="43" spans="2:23" ht="23" customHeight="1" x14ac:dyDescent="0.2">
      <c r="B43" s="47"/>
      <c r="C43" s="343" t="s">
        <v>90</v>
      </c>
      <c r="D43" s="71" t="s">
        <v>205</v>
      </c>
      <c r="E43" s="457"/>
      <c r="F43" s="458"/>
      <c r="G43" s="459"/>
      <c r="H43" s="49"/>
      <c r="J43" s="422"/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4"/>
    </row>
    <row r="44" spans="2:23" ht="23" customHeight="1" x14ac:dyDescent="0.2">
      <c r="B44" s="47"/>
      <c r="C44" s="343" t="s">
        <v>92</v>
      </c>
      <c r="D44" s="71" t="s">
        <v>206</v>
      </c>
      <c r="E44" s="457"/>
      <c r="F44" s="458"/>
      <c r="G44" s="459"/>
      <c r="H44" s="49"/>
      <c r="J44" s="422"/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4"/>
    </row>
    <row r="45" spans="2:23" ht="23" customHeight="1" x14ac:dyDescent="0.2">
      <c r="B45" s="47"/>
      <c r="C45" s="343" t="s">
        <v>188</v>
      </c>
      <c r="D45" s="71" t="s">
        <v>207</v>
      </c>
      <c r="E45" s="457"/>
      <c r="F45" s="458"/>
      <c r="G45" s="459"/>
      <c r="H45" s="49"/>
      <c r="J45" s="422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4"/>
    </row>
    <row r="46" spans="2:23" ht="23" customHeight="1" x14ac:dyDescent="0.2">
      <c r="B46" s="47"/>
      <c r="C46" s="343" t="s">
        <v>102</v>
      </c>
      <c r="D46" s="71" t="s">
        <v>208</v>
      </c>
      <c r="E46" s="457">
        <v>62971.67</v>
      </c>
      <c r="F46" s="458">
        <v>2971.67</v>
      </c>
      <c r="G46" s="459">
        <v>2971.67</v>
      </c>
      <c r="H46" s="49"/>
      <c r="J46" s="422"/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4"/>
    </row>
    <row r="47" spans="2:23" ht="23" customHeight="1" x14ac:dyDescent="0.2">
      <c r="B47" s="47"/>
      <c r="C47" s="340" t="s">
        <v>212</v>
      </c>
      <c r="D47" s="69" t="s">
        <v>213</v>
      </c>
      <c r="E47" s="460"/>
      <c r="F47" s="461"/>
      <c r="G47" s="462"/>
      <c r="H47" s="49"/>
      <c r="J47" s="422"/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4"/>
    </row>
    <row r="48" spans="2:23" ht="23" customHeight="1" x14ac:dyDescent="0.2">
      <c r="B48" s="47"/>
      <c r="C48" s="340" t="s">
        <v>214</v>
      </c>
      <c r="D48" s="69" t="s">
        <v>215</v>
      </c>
      <c r="E48" s="460">
        <v>0</v>
      </c>
      <c r="F48" s="461">
        <v>0</v>
      </c>
      <c r="G48" s="462">
        <v>0</v>
      </c>
      <c r="H48" s="49"/>
      <c r="J48" s="422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4"/>
    </row>
    <row r="49" spans="2:23" ht="23" customHeight="1" x14ac:dyDescent="0.2">
      <c r="B49" s="47"/>
      <c r="C49" s="345"/>
      <c r="D49" s="63"/>
      <c r="E49" s="317"/>
      <c r="F49" s="324"/>
      <c r="G49" s="337"/>
      <c r="H49" s="49"/>
      <c r="J49" s="422"/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4"/>
    </row>
    <row r="50" spans="2:23" s="74" customFormat="1" ht="23" customHeight="1" x14ac:dyDescent="0.2">
      <c r="B50" s="23"/>
      <c r="C50" s="338" t="s">
        <v>170</v>
      </c>
      <c r="D50" s="83" t="s">
        <v>216</v>
      </c>
      <c r="E50" s="318">
        <f>E51+E52+E65+E75+E82+E89+E90</f>
        <v>1185398.1300000001</v>
      </c>
      <c r="F50" s="325">
        <f>F51+F52+F65+F75+F82+F89+F90</f>
        <v>371834.06999999995</v>
      </c>
      <c r="G50" s="339">
        <f>G51+G52+G65+G75+G82+G89+G90</f>
        <v>614212.36999999988</v>
      </c>
      <c r="H50" s="60"/>
      <c r="J50" s="422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4"/>
    </row>
    <row r="51" spans="2:23" ht="23" customHeight="1" x14ac:dyDescent="0.2">
      <c r="B51" s="47"/>
      <c r="C51" s="340" t="s">
        <v>182</v>
      </c>
      <c r="D51" s="69" t="s">
        <v>217</v>
      </c>
      <c r="E51" s="460"/>
      <c r="F51" s="461"/>
      <c r="G51" s="462"/>
      <c r="H51" s="49"/>
      <c r="J51" s="422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4"/>
    </row>
    <row r="52" spans="2:23" ht="23" customHeight="1" x14ac:dyDescent="0.2">
      <c r="B52" s="47"/>
      <c r="C52" s="340" t="s">
        <v>192</v>
      </c>
      <c r="D52" s="69" t="s">
        <v>218</v>
      </c>
      <c r="E52" s="319">
        <f>E53+E54+E57+E60+E63+E64</f>
        <v>141.85</v>
      </c>
      <c r="F52" s="326">
        <f t="shared" ref="F52:G52" si="0">F53+F54+F57+F60+F63+F64</f>
        <v>141.85</v>
      </c>
      <c r="G52" s="341">
        <f t="shared" si="0"/>
        <v>141.85</v>
      </c>
      <c r="H52" s="49"/>
      <c r="J52" s="422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4"/>
    </row>
    <row r="53" spans="2:23" ht="23" customHeight="1" x14ac:dyDescent="0.2">
      <c r="B53" s="47"/>
      <c r="C53" s="343" t="s">
        <v>81</v>
      </c>
      <c r="D53" s="71" t="s">
        <v>219</v>
      </c>
      <c r="E53" s="457"/>
      <c r="F53" s="458"/>
      <c r="G53" s="459"/>
      <c r="H53" s="49"/>
      <c r="J53" s="422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4"/>
    </row>
    <row r="54" spans="2:23" ht="23" customHeight="1" x14ac:dyDescent="0.2">
      <c r="B54" s="47"/>
      <c r="C54" s="343" t="s">
        <v>88</v>
      </c>
      <c r="D54" s="71" t="s">
        <v>220</v>
      </c>
      <c r="E54" s="320">
        <f>E55+E56</f>
        <v>141.85</v>
      </c>
      <c r="F54" s="327">
        <f t="shared" ref="F54:G54" si="1">F55+F56</f>
        <v>141.85</v>
      </c>
      <c r="G54" s="344">
        <f t="shared" si="1"/>
        <v>141.85</v>
      </c>
      <c r="H54" s="49"/>
      <c r="J54" s="422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4"/>
    </row>
    <row r="55" spans="2:23" ht="23" customHeight="1" x14ac:dyDescent="0.15">
      <c r="B55" s="47"/>
      <c r="C55" s="346" t="s">
        <v>82</v>
      </c>
      <c r="D55" s="86" t="s">
        <v>244</v>
      </c>
      <c r="E55" s="708"/>
      <c r="F55" s="709"/>
      <c r="G55" s="710"/>
      <c r="H55" s="49"/>
      <c r="J55" s="422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4"/>
    </row>
    <row r="56" spans="2:23" ht="23" customHeight="1" x14ac:dyDescent="0.15">
      <c r="B56" s="47"/>
      <c r="C56" s="346" t="s">
        <v>84</v>
      </c>
      <c r="D56" s="86" t="s">
        <v>245</v>
      </c>
      <c r="E56" s="708">
        <v>141.85</v>
      </c>
      <c r="F56" s="709">
        <v>141.85</v>
      </c>
      <c r="G56" s="710">
        <v>141.85</v>
      </c>
      <c r="H56" s="49"/>
      <c r="J56" s="422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4"/>
    </row>
    <row r="57" spans="2:23" ht="23" customHeight="1" x14ac:dyDescent="0.2">
      <c r="B57" s="47"/>
      <c r="C57" s="343" t="s">
        <v>90</v>
      </c>
      <c r="D57" s="71" t="s">
        <v>221</v>
      </c>
      <c r="E57" s="320">
        <f>E58+E59</f>
        <v>0</v>
      </c>
      <c r="F57" s="327">
        <f t="shared" ref="F57:G57" si="2">F58+F59</f>
        <v>0</v>
      </c>
      <c r="G57" s="344">
        <f t="shared" si="2"/>
        <v>0</v>
      </c>
      <c r="H57" s="49"/>
      <c r="J57" s="422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4"/>
    </row>
    <row r="58" spans="2:23" ht="23" customHeight="1" x14ac:dyDescent="0.15">
      <c r="B58" s="47"/>
      <c r="C58" s="346" t="s">
        <v>82</v>
      </c>
      <c r="D58" s="86" t="s">
        <v>222</v>
      </c>
      <c r="E58" s="708"/>
      <c r="F58" s="709"/>
      <c r="G58" s="710"/>
      <c r="H58" s="49"/>
      <c r="J58" s="422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4"/>
    </row>
    <row r="59" spans="2:23" ht="23" customHeight="1" x14ac:dyDescent="0.15">
      <c r="B59" s="47"/>
      <c r="C59" s="346" t="s">
        <v>84</v>
      </c>
      <c r="D59" s="86" t="s">
        <v>223</v>
      </c>
      <c r="E59" s="708"/>
      <c r="F59" s="709"/>
      <c r="G59" s="710"/>
      <c r="H59" s="49"/>
      <c r="J59" s="422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4"/>
    </row>
    <row r="60" spans="2:23" ht="23" customHeight="1" x14ac:dyDescent="0.2">
      <c r="B60" s="47"/>
      <c r="C60" s="343" t="s">
        <v>92</v>
      </c>
      <c r="D60" s="71" t="s">
        <v>224</v>
      </c>
      <c r="E60" s="320">
        <f>E61+E62</f>
        <v>0</v>
      </c>
      <c r="F60" s="327">
        <f t="shared" ref="F60:G60" si="3">F61+F62</f>
        <v>0</v>
      </c>
      <c r="G60" s="344">
        <f t="shared" si="3"/>
        <v>0</v>
      </c>
      <c r="H60" s="49"/>
      <c r="J60" s="422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4"/>
    </row>
    <row r="61" spans="2:23" ht="23" customHeight="1" x14ac:dyDescent="0.15">
      <c r="B61" s="47"/>
      <c r="C61" s="346" t="s">
        <v>82</v>
      </c>
      <c r="D61" s="86" t="s">
        <v>222</v>
      </c>
      <c r="E61" s="708"/>
      <c r="F61" s="709"/>
      <c r="G61" s="710"/>
      <c r="H61" s="49"/>
      <c r="J61" s="422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4"/>
    </row>
    <row r="62" spans="2:23" ht="23" customHeight="1" x14ac:dyDescent="0.15">
      <c r="B62" s="47"/>
      <c r="C62" s="346" t="s">
        <v>84</v>
      </c>
      <c r="D62" s="86" t="s">
        <v>223</v>
      </c>
      <c r="E62" s="708"/>
      <c r="F62" s="709"/>
      <c r="G62" s="710"/>
      <c r="H62" s="49"/>
      <c r="J62" s="422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4"/>
    </row>
    <row r="63" spans="2:23" ht="23" customHeight="1" x14ac:dyDescent="0.2">
      <c r="B63" s="47"/>
      <c r="C63" s="343" t="s">
        <v>188</v>
      </c>
      <c r="D63" s="71" t="s">
        <v>225</v>
      </c>
      <c r="E63" s="457"/>
      <c r="F63" s="458"/>
      <c r="G63" s="459"/>
      <c r="H63" s="49"/>
      <c r="J63" s="422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4"/>
    </row>
    <row r="64" spans="2:23" ht="23" customHeight="1" x14ac:dyDescent="0.2">
      <c r="B64" s="47"/>
      <c r="C64" s="343" t="s">
        <v>102</v>
      </c>
      <c r="D64" s="71" t="s">
        <v>226</v>
      </c>
      <c r="E64" s="457"/>
      <c r="F64" s="458"/>
      <c r="G64" s="459"/>
      <c r="H64" s="49"/>
      <c r="J64" s="422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4"/>
    </row>
    <row r="65" spans="2:23" ht="23" customHeight="1" x14ac:dyDescent="0.2">
      <c r="B65" s="47"/>
      <c r="C65" s="340" t="s">
        <v>197</v>
      </c>
      <c r="D65" s="69" t="s">
        <v>227</v>
      </c>
      <c r="E65" s="319">
        <f>E66+SUM(E69:E74)</f>
        <v>1117380.51</v>
      </c>
      <c r="F65" s="326">
        <f t="shared" ref="F65:G65" si="4">F66+SUM(F69:F74)</f>
        <v>364084.47999999998</v>
      </c>
      <c r="G65" s="341">
        <f t="shared" si="4"/>
        <v>364084.47999999998</v>
      </c>
      <c r="H65" s="49"/>
      <c r="J65" s="422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4"/>
    </row>
    <row r="66" spans="2:23" ht="23" customHeight="1" x14ac:dyDescent="0.2">
      <c r="B66" s="47"/>
      <c r="C66" s="343" t="s">
        <v>81</v>
      </c>
      <c r="D66" s="71" t="s">
        <v>228</v>
      </c>
      <c r="E66" s="320">
        <f>E67+E68</f>
        <v>124733.1</v>
      </c>
      <c r="F66" s="327">
        <f t="shared" ref="F66:G66" si="5">F67+F68</f>
        <v>90010.57</v>
      </c>
      <c r="G66" s="344">
        <f t="shared" si="5"/>
        <v>90010.57</v>
      </c>
      <c r="H66" s="49"/>
      <c r="J66" s="422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4"/>
    </row>
    <row r="67" spans="2:23" ht="23" customHeight="1" x14ac:dyDescent="0.15">
      <c r="B67" s="47"/>
      <c r="C67" s="346" t="s">
        <v>82</v>
      </c>
      <c r="D67" s="86" t="s">
        <v>229</v>
      </c>
      <c r="E67" s="708"/>
      <c r="F67" s="709"/>
      <c r="G67" s="710"/>
      <c r="H67" s="49"/>
      <c r="J67" s="422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4"/>
    </row>
    <row r="68" spans="2:23" ht="23" customHeight="1" x14ac:dyDescent="0.15">
      <c r="B68" s="47"/>
      <c r="C68" s="346" t="s">
        <v>84</v>
      </c>
      <c r="D68" s="86" t="s">
        <v>230</v>
      </c>
      <c r="E68" s="708">
        <v>124733.1</v>
      </c>
      <c r="F68" s="709">
        <v>90010.57</v>
      </c>
      <c r="G68" s="710">
        <v>90010.57</v>
      </c>
      <c r="H68" s="49"/>
      <c r="J68" s="422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4"/>
    </row>
    <row r="69" spans="2:23" ht="23" customHeight="1" x14ac:dyDescent="0.2">
      <c r="B69" s="47"/>
      <c r="C69" s="343" t="s">
        <v>88</v>
      </c>
      <c r="D69" s="71" t="s">
        <v>231</v>
      </c>
      <c r="E69" s="457"/>
      <c r="F69" s="458"/>
      <c r="G69" s="459"/>
      <c r="H69" s="49"/>
      <c r="J69" s="422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4"/>
    </row>
    <row r="70" spans="2:23" ht="23" customHeight="1" x14ac:dyDescent="0.2">
      <c r="B70" s="47"/>
      <c r="C70" s="343" t="s">
        <v>90</v>
      </c>
      <c r="D70" s="71" t="s">
        <v>232</v>
      </c>
      <c r="E70" s="457">
        <v>992647.41</v>
      </c>
      <c r="F70" s="458">
        <f>274073.91-109404.36</f>
        <v>164669.54999999999</v>
      </c>
      <c r="G70" s="459">
        <v>274073.90999999997</v>
      </c>
      <c r="H70" s="49"/>
      <c r="J70" s="422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4"/>
    </row>
    <row r="71" spans="2:23" ht="23" customHeight="1" x14ac:dyDescent="0.2">
      <c r="B71" s="47"/>
      <c r="C71" s="343" t="s">
        <v>92</v>
      </c>
      <c r="D71" s="71" t="s">
        <v>61</v>
      </c>
      <c r="E71" s="457"/>
      <c r="F71" s="458"/>
      <c r="G71" s="459"/>
      <c r="H71" s="49"/>
      <c r="J71" s="422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4"/>
    </row>
    <row r="72" spans="2:23" ht="23" customHeight="1" x14ac:dyDescent="0.2">
      <c r="B72" s="47"/>
      <c r="C72" s="343" t="s">
        <v>188</v>
      </c>
      <c r="D72" s="71" t="s">
        <v>233</v>
      </c>
      <c r="E72" s="457"/>
      <c r="F72" s="458">
        <f>'FC-3_1_INF_ADIC_CPyG'!F68</f>
        <v>109404.36</v>
      </c>
      <c r="G72" s="459">
        <f>'FC-3_1_INF_ADIC_CPyG'!G68</f>
        <v>0</v>
      </c>
      <c r="H72" s="49"/>
      <c r="J72" s="422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4"/>
    </row>
    <row r="73" spans="2:23" ht="23" customHeight="1" x14ac:dyDescent="0.2">
      <c r="B73" s="47"/>
      <c r="C73" s="343" t="s">
        <v>102</v>
      </c>
      <c r="D73" s="71" t="s">
        <v>234</v>
      </c>
      <c r="E73" s="457"/>
      <c r="F73" s="458"/>
      <c r="G73" s="459"/>
      <c r="H73" s="49"/>
      <c r="J73" s="422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4"/>
    </row>
    <row r="74" spans="2:23" ht="23" customHeight="1" x14ac:dyDescent="0.2">
      <c r="B74" s="47"/>
      <c r="C74" s="343" t="s">
        <v>107</v>
      </c>
      <c r="D74" s="71" t="s">
        <v>235</v>
      </c>
      <c r="E74" s="457"/>
      <c r="F74" s="458"/>
      <c r="G74" s="459"/>
      <c r="H74" s="49"/>
      <c r="J74" s="422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4"/>
    </row>
    <row r="75" spans="2:23" ht="23" customHeight="1" x14ac:dyDescent="0.2">
      <c r="B75" s="47"/>
      <c r="C75" s="340" t="s">
        <v>201</v>
      </c>
      <c r="D75" s="69" t="s">
        <v>236</v>
      </c>
      <c r="E75" s="319">
        <f>SUM(E76:E81)</f>
        <v>0</v>
      </c>
      <c r="F75" s="326">
        <f t="shared" ref="F75:G75" si="6">SUM(F76:F81)</f>
        <v>0</v>
      </c>
      <c r="G75" s="341">
        <f t="shared" si="6"/>
        <v>0</v>
      </c>
      <c r="H75" s="49"/>
      <c r="J75" s="422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4"/>
    </row>
    <row r="76" spans="2:23" ht="23" customHeight="1" x14ac:dyDescent="0.2">
      <c r="B76" s="47"/>
      <c r="C76" s="343" t="s">
        <v>81</v>
      </c>
      <c r="D76" s="71" t="s">
        <v>203</v>
      </c>
      <c r="E76" s="457"/>
      <c r="F76" s="458"/>
      <c r="G76" s="459"/>
      <c r="H76" s="49"/>
      <c r="J76" s="422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4"/>
    </row>
    <row r="77" spans="2:23" ht="23" customHeight="1" x14ac:dyDescent="0.2">
      <c r="B77" s="47"/>
      <c r="C77" s="343" t="s">
        <v>88</v>
      </c>
      <c r="D77" s="71" t="s">
        <v>204</v>
      </c>
      <c r="E77" s="457"/>
      <c r="F77" s="458"/>
      <c r="G77" s="459"/>
      <c r="H77" s="49"/>
      <c r="J77" s="422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4"/>
    </row>
    <row r="78" spans="2:23" ht="23" customHeight="1" x14ac:dyDescent="0.2">
      <c r="B78" s="47"/>
      <c r="C78" s="343" t="s">
        <v>90</v>
      </c>
      <c r="D78" s="71" t="s">
        <v>205</v>
      </c>
      <c r="E78" s="457"/>
      <c r="F78" s="458"/>
      <c r="G78" s="459"/>
      <c r="H78" s="49"/>
      <c r="J78" s="422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4"/>
    </row>
    <row r="79" spans="2:23" ht="23" customHeight="1" x14ac:dyDescent="0.2">
      <c r="B79" s="47"/>
      <c r="C79" s="343" t="s">
        <v>92</v>
      </c>
      <c r="D79" s="71" t="s">
        <v>206</v>
      </c>
      <c r="E79" s="457"/>
      <c r="F79" s="458"/>
      <c r="G79" s="459"/>
      <c r="H79" s="49"/>
      <c r="J79" s="422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4"/>
    </row>
    <row r="80" spans="2:23" ht="23" customHeight="1" x14ac:dyDescent="0.2">
      <c r="B80" s="47"/>
      <c r="C80" s="343" t="s">
        <v>188</v>
      </c>
      <c r="D80" s="71" t="s">
        <v>207</v>
      </c>
      <c r="E80" s="457"/>
      <c r="F80" s="458"/>
      <c r="G80" s="459"/>
      <c r="H80" s="49"/>
      <c r="J80" s="422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4"/>
    </row>
    <row r="81" spans="2:23" ht="23" customHeight="1" x14ac:dyDescent="0.2">
      <c r="B81" s="47"/>
      <c r="C81" s="343" t="s">
        <v>102</v>
      </c>
      <c r="D81" s="71" t="s">
        <v>208</v>
      </c>
      <c r="E81" s="457"/>
      <c r="F81" s="458"/>
      <c r="G81" s="459"/>
      <c r="H81" s="49"/>
      <c r="J81" s="422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4"/>
    </row>
    <row r="82" spans="2:23" ht="23" customHeight="1" x14ac:dyDescent="0.2">
      <c r="B82" s="47"/>
      <c r="C82" s="340" t="s">
        <v>209</v>
      </c>
      <c r="D82" s="69" t="s">
        <v>237</v>
      </c>
      <c r="E82" s="319">
        <f>SUM(E83:E88)</f>
        <v>0</v>
      </c>
      <c r="F82" s="326">
        <f t="shared" ref="F82:G82" si="7">SUM(F83:F88)</f>
        <v>0</v>
      </c>
      <c r="G82" s="341">
        <f t="shared" si="7"/>
        <v>0</v>
      </c>
      <c r="H82" s="49"/>
      <c r="J82" s="422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4"/>
    </row>
    <row r="83" spans="2:23" ht="23" customHeight="1" x14ac:dyDescent="0.2">
      <c r="B83" s="47"/>
      <c r="C83" s="343" t="s">
        <v>81</v>
      </c>
      <c r="D83" s="71" t="s">
        <v>203</v>
      </c>
      <c r="E83" s="457"/>
      <c r="F83" s="458"/>
      <c r="G83" s="459"/>
      <c r="H83" s="49"/>
      <c r="J83" s="422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4"/>
    </row>
    <row r="84" spans="2:23" ht="23" customHeight="1" x14ac:dyDescent="0.2">
      <c r="B84" s="47"/>
      <c r="C84" s="343" t="s">
        <v>88</v>
      </c>
      <c r="D84" s="71" t="s">
        <v>204</v>
      </c>
      <c r="E84" s="457"/>
      <c r="F84" s="458"/>
      <c r="G84" s="459"/>
      <c r="H84" s="49"/>
      <c r="J84" s="422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4"/>
    </row>
    <row r="85" spans="2:23" ht="23" customHeight="1" x14ac:dyDescent="0.2">
      <c r="B85" s="47"/>
      <c r="C85" s="343" t="s">
        <v>90</v>
      </c>
      <c r="D85" s="71" t="s">
        <v>205</v>
      </c>
      <c r="E85" s="457"/>
      <c r="F85" s="458"/>
      <c r="G85" s="459"/>
      <c r="H85" s="49"/>
      <c r="J85" s="422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4"/>
    </row>
    <row r="86" spans="2:23" ht="23" customHeight="1" x14ac:dyDescent="0.2">
      <c r="B86" s="47"/>
      <c r="C86" s="343" t="s">
        <v>92</v>
      </c>
      <c r="D86" s="71" t="s">
        <v>206</v>
      </c>
      <c r="E86" s="457"/>
      <c r="F86" s="458"/>
      <c r="G86" s="459"/>
      <c r="H86" s="49"/>
      <c r="J86" s="422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4"/>
    </row>
    <row r="87" spans="2:23" ht="23" customHeight="1" x14ac:dyDescent="0.2">
      <c r="B87" s="47"/>
      <c r="C87" s="343" t="s">
        <v>188</v>
      </c>
      <c r="D87" s="71" t="s">
        <v>207</v>
      </c>
      <c r="E87" s="457"/>
      <c r="F87" s="458"/>
      <c r="G87" s="459"/>
      <c r="H87" s="49"/>
      <c r="J87" s="422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4"/>
    </row>
    <row r="88" spans="2:23" ht="23" customHeight="1" x14ac:dyDescent="0.2">
      <c r="B88" s="47"/>
      <c r="C88" s="343" t="s">
        <v>102</v>
      </c>
      <c r="D88" s="71" t="s">
        <v>208</v>
      </c>
      <c r="E88" s="457"/>
      <c r="F88" s="458"/>
      <c r="G88" s="459"/>
      <c r="H88" s="49"/>
      <c r="J88" s="422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4"/>
    </row>
    <row r="89" spans="2:23" s="74" customFormat="1" ht="23" customHeight="1" x14ac:dyDescent="0.2">
      <c r="B89" s="23"/>
      <c r="C89" s="340" t="s">
        <v>212</v>
      </c>
      <c r="D89" s="69" t="s">
        <v>238</v>
      </c>
      <c r="E89" s="460">
        <v>16055.87</v>
      </c>
      <c r="F89" s="461"/>
      <c r="G89" s="462"/>
      <c r="H89" s="60"/>
      <c r="J89" s="422"/>
      <c r="K89" s="1238"/>
      <c r="L89" s="1238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4"/>
    </row>
    <row r="90" spans="2:23" ht="23" customHeight="1" x14ac:dyDescent="0.2">
      <c r="B90" s="47"/>
      <c r="C90" s="340" t="s">
        <v>214</v>
      </c>
      <c r="D90" s="69" t="s">
        <v>239</v>
      </c>
      <c r="E90" s="319">
        <f>SUM(E91:E92)</f>
        <v>51819.9</v>
      </c>
      <c r="F90" s="326">
        <f t="shared" ref="F90:G90" si="8">SUM(F91:F92)</f>
        <v>7607.74</v>
      </c>
      <c r="G90" s="341">
        <f t="shared" si="8"/>
        <v>249986.03999999998</v>
      </c>
      <c r="H90" s="49"/>
      <c r="J90" s="422"/>
      <c r="K90" s="1238"/>
      <c r="L90" s="1238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4"/>
    </row>
    <row r="91" spans="2:23" ht="23" customHeight="1" x14ac:dyDescent="0.2">
      <c r="B91" s="47"/>
      <c r="C91" s="343" t="s">
        <v>81</v>
      </c>
      <c r="D91" s="71" t="s">
        <v>240</v>
      </c>
      <c r="E91" s="457">
        <v>51819.9</v>
      </c>
      <c r="F91" s="458">
        <f>7607.74</f>
        <v>7607.74</v>
      </c>
      <c r="G91" s="459">
        <f>6633.54-F72+F72-G72+243352.5</f>
        <v>249986.03999999998</v>
      </c>
      <c r="H91" s="49"/>
      <c r="J91" s="422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4"/>
    </row>
    <row r="92" spans="2:23" ht="23" customHeight="1" x14ac:dyDescent="0.2">
      <c r="B92" s="47"/>
      <c r="C92" s="347" t="s">
        <v>88</v>
      </c>
      <c r="D92" s="348" t="s">
        <v>241</v>
      </c>
      <c r="E92" s="463"/>
      <c r="F92" s="464"/>
      <c r="G92" s="465"/>
      <c r="H92" s="49"/>
      <c r="J92" s="422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4"/>
    </row>
    <row r="93" spans="2:23" ht="23" customHeight="1" x14ac:dyDescent="0.2">
      <c r="B93" s="47"/>
      <c r="C93" s="312"/>
      <c r="D93" s="63"/>
      <c r="E93" s="321"/>
      <c r="F93" s="328"/>
      <c r="G93" s="313"/>
      <c r="H93" s="49"/>
      <c r="J93" s="422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4"/>
    </row>
    <row r="94" spans="2:23" s="81" customFormat="1" ht="23" customHeight="1" thickBot="1" x14ac:dyDescent="0.25">
      <c r="B94" s="79"/>
      <c r="C94" s="149" t="s">
        <v>246</v>
      </c>
      <c r="D94" s="78"/>
      <c r="E94" s="322">
        <f>E50+E16</f>
        <v>10916861.74</v>
      </c>
      <c r="F94" s="329">
        <f t="shared" ref="F94:G94" si="9">F50+F16</f>
        <v>10475607.43</v>
      </c>
      <c r="G94" s="314">
        <f t="shared" si="9"/>
        <v>10702879.399999999</v>
      </c>
      <c r="H94" s="80"/>
      <c r="J94" s="422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4"/>
    </row>
    <row r="95" spans="2:23" ht="23" customHeight="1" thickBot="1" x14ac:dyDescent="0.2">
      <c r="B95" s="51"/>
      <c r="C95" s="1375"/>
      <c r="D95" s="1375"/>
      <c r="E95" s="1375"/>
      <c r="F95" s="1375"/>
      <c r="G95" s="53"/>
      <c r="H95" s="54"/>
      <c r="J95" s="425"/>
      <c r="K95" s="426"/>
      <c r="L95" s="426"/>
      <c r="M95" s="426"/>
      <c r="N95" s="426"/>
      <c r="O95" s="426"/>
      <c r="P95" s="426"/>
      <c r="Q95" s="426"/>
      <c r="R95" s="426"/>
      <c r="S95" s="426"/>
      <c r="T95" s="426"/>
      <c r="U95" s="426"/>
      <c r="V95" s="426"/>
      <c r="W95" s="427"/>
    </row>
    <row r="96" spans="2:23" ht="23" customHeight="1" x14ac:dyDescent="0.15">
      <c r="C96" s="43"/>
      <c r="D96" s="43"/>
      <c r="E96" s="43"/>
      <c r="F96" s="43"/>
      <c r="G96" s="43"/>
      <c r="I96" s="41" t="s">
        <v>936</v>
      </c>
    </row>
    <row r="97" spans="3:7" ht="13" x14ac:dyDescent="0.15">
      <c r="C97" s="36" t="s">
        <v>70</v>
      </c>
      <c r="D97" s="43"/>
      <c r="E97" s="43"/>
      <c r="F97" s="43"/>
      <c r="G97" s="40" t="s">
        <v>675</v>
      </c>
    </row>
    <row r="98" spans="3:7" ht="13" x14ac:dyDescent="0.15">
      <c r="C98" s="37" t="s">
        <v>71</v>
      </c>
      <c r="D98" s="43"/>
      <c r="E98" s="43"/>
      <c r="F98" s="43"/>
      <c r="G98" s="43"/>
    </row>
    <row r="99" spans="3:7" ht="13" x14ac:dyDescent="0.15">
      <c r="C99" s="37" t="s">
        <v>72</v>
      </c>
      <c r="D99" s="43"/>
      <c r="E99" s="43"/>
      <c r="F99" s="43"/>
      <c r="G99" s="43"/>
    </row>
    <row r="100" spans="3:7" ht="13" x14ac:dyDescent="0.15">
      <c r="C100" s="37" t="s">
        <v>73</v>
      </c>
      <c r="D100" s="43"/>
      <c r="E100" s="43"/>
      <c r="F100" s="43"/>
      <c r="G100" s="43"/>
    </row>
    <row r="101" spans="3:7" ht="13" x14ac:dyDescent="0.15">
      <c r="C101" s="37" t="s">
        <v>74</v>
      </c>
      <c r="D101" s="43"/>
      <c r="E101" s="43"/>
      <c r="F101" s="43"/>
      <c r="G101" s="43"/>
    </row>
    <row r="102" spans="3:7" ht="66" customHeight="1" x14ac:dyDescent="0.2">
      <c r="C102" s="43"/>
      <c r="D102" s="43"/>
      <c r="E102" s="718"/>
      <c r="F102" s="712"/>
      <c r="G102" s="712"/>
    </row>
    <row r="103" spans="3:7" ht="23" customHeight="1" x14ac:dyDescent="0.15">
      <c r="C103" s="43"/>
      <c r="D103" s="43"/>
      <c r="E103" s="43"/>
      <c r="F103" s="43"/>
      <c r="G103" s="43"/>
    </row>
    <row r="104" spans="3:7" ht="23" customHeight="1" x14ac:dyDescent="0.15">
      <c r="C104" s="43"/>
      <c r="D104" s="43"/>
      <c r="E104" s="43"/>
      <c r="F104" s="43"/>
      <c r="G104" s="43"/>
    </row>
    <row r="105" spans="3:7" ht="23" customHeight="1" x14ac:dyDescent="0.15">
      <c r="C105" s="43"/>
      <c r="D105" s="43"/>
      <c r="E105" s="43"/>
      <c r="F105" s="43"/>
      <c r="G105" s="43"/>
    </row>
    <row r="106" spans="3:7" ht="23" customHeight="1" x14ac:dyDescent="0.15">
      <c r="F106" s="43"/>
      <c r="G106" s="43"/>
    </row>
  </sheetData>
  <sheetProtection sheet="1" objects="1" scenarios="1"/>
  <mergeCells count="3">
    <mergeCell ref="G6:G7"/>
    <mergeCell ref="D9:G9"/>
    <mergeCell ref="C95:F95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33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98"/>
  <sheetViews>
    <sheetView topLeftCell="A13" workbookViewId="0">
      <selection activeCell="G41" sqref="G41"/>
    </sheetView>
  </sheetViews>
  <sheetFormatPr baseColWidth="10" defaultColWidth="10.7109375" defaultRowHeight="23" customHeight="1" x14ac:dyDescent="0.15"/>
  <cols>
    <col min="1" max="1" width="4.28515625" style="41" bestFit="1" customWidth="1"/>
    <col min="2" max="2" width="3.28515625" style="41" customWidth="1"/>
    <col min="3" max="3" width="13.5703125" style="41" customWidth="1"/>
    <col min="4" max="4" width="76.7109375" style="41" customWidth="1"/>
    <col min="5" max="7" width="18.28515625" style="41" customWidth="1"/>
    <col min="8" max="8" width="3.28515625" style="41" customWidth="1"/>
    <col min="9" max="16384" width="10.7109375" style="41"/>
  </cols>
  <sheetData>
    <row r="1" spans="1:23" ht="23" customHeight="1" x14ac:dyDescent="0.15">
      <c r="D1" s="43"/>
    </row>
    <row r="2" spans="1:23" ht="23" customHeight="1" x14ac:dyDescent="0.15">
      <c r="D2" s="311" t="str">
        <f>_GENERAL!D2</f>
        <v>Área de Presidencia, Hacienda y Modernización</v>
      </c>
    </row>
    <row r="3" spans="1:23" ht="23" customHeight="1" x14ac:dyDescent="0.15">
      <c r="D3" s="311" t="str">
        <f>_GENERAL!D3</f>
        <v>Dirección Insular de Hacienda</v>
      </c>
    </row>
    <row r="4" spans="1:23" ht="23" customHeight="1" thickBot="1" x14ac:dyDescent="0.2">
      <c r="A4" s="41" t="s">
        <v>935</v>
      </c>
    </row>
    <row r="5" spans="1:23" ht="9" customHeight="1" x14ac:dyDescent="0.15">
      <c r="B5" s="44"/>
      <c r="C5" s="45"/>
      <c r="D5" s="45"/>
      <c r="E5" s="45"/>
      <c r="F5" s="45"/>
      <c r="G5" s="45"/>
      <c r="H5" s="46"/>
      <c r="J5" s="406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8"/>
    </row>
    <row r="6" spans="1:23" ht="30" customHeight="1" x14ac:dyDescent="0.2">
      <c r="B6" s="47"/>
      <c r="C6" s="1" t="s">
        <v>0</v>
      </c>
      <c r="D6" s="43"/>
      <c r="E6" s="43"/>
      <c r="F6" s="43"/>
      <c r="G6" s="1362">
        <f>ejercicio</f>
        <v>2020</v>
      </c>
      <c r="H6" s="49"/>
      <c r="J6" s="409"/>
      <c r="K6" s="410" t="s">
        <v>677</v>
      </c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2"/>
    </row>
    <row r="7" spans="1:23" ht="30" customHeight="1" x14ac:dyDescent="0.2">
      <c r="B7" s="47"/>
      <c r="C7" s="1" t="s">
        <v>1</v>
      </c>
      <c r="D7" s="43"/>
      <c r="E7" s="43"/>
      <c r="F7" s="43"/>
      <c r="G7" s="1362"/>
      <c r="H7" s="49"/>
      <c r="J7" s="409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  <c r="V7" s="411"/>
      <c r="W7" s="412"/>
    </row>
    <row r="8" spans="1:23" ht="30" customHeight="1" x14ac:dyDescent="0.15">
      <c r="B8" s="47"/>
      <c r="C8" s="48"/>
      <c r="D8" s="43"/>
      <c r="E8" s="43"/>
      <c r="F8" s="43"/>
      <c r="G8" s="50"/>
      <c r="H8" s="49"/>
      <c r="J8" s="409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2"/>
    </row>
    <row r="9" spans="1:23" s="59" customFormat="1" ht="30" customHeight="1" x14ac:dyDescent="0.2">
      <c r="B9" s="57"/>
      <c r="C9" s="38" t="s">
        <v>2</v>
      </c>
      <c r="D9" s="1376" t="str">
        <f>Entidad</f>
        <v>TEA Tenerife Espacio de las Artes, Entidad Pública Empresarial Local</v>
      </c>
      <c r="E9" s="1376"/>
      <c r="F9" s="1376"/>
      <c r="G9" s="1376"/>
      <c r="H9" s="58"/>
      <c r="J9" s="413"/>
      <c r="K9" s="414"/>
      <c r="L9" s="414"/>
      <c r="M9" s="414"/>
      <c r="N9" s="414"/>
      <c r="O9" s="414"/>
      <c r="P9" s="414"/>
      <c r="Q9" s="414"/>
      <c r="R9" s="414"/>
      <c r="S9" s="414"/>
      <c r="T9" s="414"/>
      <c r="U9" s="414"/>
      <c r="V9" s="414"/>
      <c r="W9" s="415"/>
    </row>
    <row r="10" spans="1:23" ht="7.25" customHeight="1" x14ac:dyDescent="0.15">
      <c r="B10" s="47"/>
      <c r="C10" s="43"/>
      <c r="D10" s="43"/>
      <c r="E10" s="43"/>
      <c r="F10" s="43"/>
      <c r="G10" s="43"/>
      <c r="H10" s="49"/>
      <c r="J10" s="409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2"/>
    </row>
    <row r="11" spans="1:23" s="61" customFormat="1" ht="30" customHeight="1" x14ac:dyDescent="0.2">
      <c r="B11" s="23"/>
      <c r="C11" s="11" t="s">
        <v>248</v>
      </c>
      <c r="D11" s="11"/>
      <c r="E11" s="11"/>
      <c r="F11" s="11"/>
      <c r="G11" s="11"/>
      <c r="H11" s="60"/>
      <c r="J11" s="416"/>
      <c r="K11" s="417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8"/>
    </row>
    <row r="12" spans="1:23" s="61" customFormat="1" ht="30" customHeight="1" x14ac:dyDescent="0.2">
      <c r="B12" s="23"/>
      <c r="C12" s="65"/>
      <c r="D12" s="65"/>
      <c r="E12" s="65"/>
      <c r="F12" s="65"/>
      <c r="G12" s="65"/>
      <c r="H12" s="60"/>
      <c r="J12" s="416"/>
      <c r="K12" s="417"/>
      <c r="L12" s="417"/>
      <c r="M12" s="417"/>
      <c r="N12" s="417"/>
      <c r="O12" s="417"/>
      <c r="P12" s="417"/>
      <c r="Q12" s="417"/>
      <c r="R12" s="417"/>
      <c r="S12" s="417"/>
      <c r="T12" s="417"/>
      <c r="U12" s="417"/>
      <c r="V12" s="417"/>
      <c r="W12" s="418"/>
    </row>
    <row r="13" spans="1:23" ht="23" customHeight="1" x14ac:dyDescent="0.2">
      <c r="B13" s="47"/>
      <c r="C13" s="208"/>
      <c r="D13" s="209"/>
      <c r="E13" s="210" t="s">
        <v>176</v>
      </c>
      <c r="F13" s="210" t="s">
        <v>177</v>
      </c>
      <c r="G13" s="211" t="s">
        <v>178</v>
      </c>
      <c r="H13" s="49"/>
      <c r="J13" s="409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2"/>
    </row>
    <row r="14" spans="1:23" ht="23" customHeight="1" x14ac:dyDescent="0.25">
      <c r="B14" s="47"/>
      <c r="C14" s="212" t="s">
        <v>385</v>
      </c>
      <c r="D14" s="67"/>
      <c r="E14" s="213">
        <f>ejercicio-2</f>
        <v>2018</v>
      </c>
      <c r="F14" s="213">
        <f>ejercicio-1</f>
        <v>2019</v>
      </c>
      <c r="G14" s="214">
        <f>ejercicio</f>
        <v>2020</v>
      </c>
      <c r="H14" s="49"/>
      <c r="J14" s="409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2"/>
    </row>
    <row r="15" spans="1:23" ht="23" customHeight="1" x14ac:dyDescent="0.2">
      <c r="B15" s="47"/>
      <c r="C15" s="136"/>
      <c r="D15" s="85"/>
      <c r="E15" s="129"/>
      <c r="F15" s="129"/>
      <c r="G15" s="137"/>
      <c r="H15" s="49"/>
      <c r="J15" s="409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2"/>
    </row>
    <row r="16" spans="1:23" ht="23" customHeight="1" x14ac:dyDescent="0.2">
      <c r="B16" s="47"/>
      <c r="C16" s="138" t="s">
        <v>79</v>
      </c>
      <c r="D16" s="83" t="s">
        <v>249</v>
      </c>
      <c r="E16" s="130">
        <f>E17+E35+E41</f>
        <v>7528210.8399999999</v>
      </c>
      <c r="F16" s="130">
        <f>F17+F35+F41</f>
        <v>8223002.9499999993</v>
      </c>
      <c r="G16" s="139">
        <f>G17+G35+G41</f>
        <v>8482143.4700000007</v>
      </c>
      <c r="H16" s="49"/>
      <c r="J16" s="409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2"/>
    </row>
    <row r="17" spans="2:23" ht="23" customHeight="1" x14ac:dyDescent="0.2">
      <c r="B17" s="47"/>
      <c r="C17" s="140" t="s">
        <v>129</v>
      </c>
      <c r="D17" s="69" t="s">
        <v>250</v>
      </c>
      <c r="E17" s="131">
        <f>+E18+E21+E22+E27+E28+E31+E32+E33+E34</f>
        <v>-93981.830000000307</v>
      </c>
      <c r="F17" s="131">
        <f>+F18+F21+F22+F27+F28+F31+F32+F33+F34</f>
        <v>-50463.900000000605</v>
      </c>
      <c r="G17" s="141">
        <f>+G18+G21+G22+G27+G28+G31+G32+G33+G34</f>
        <v>-50463.900000000605</v>
      </c>
      <c r="H17" s="49"/>
      <c r="J17" s="409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2"/>
    </row>
    <row r="18" spans="2:23" ht="23" customHeight="1" x14ac:dyDescent="0.2">
      <c r="B18" s="47"/>
      <c r="C18" s="140" t="s">
        <v>182</v>
      </c>
      <c r="D18" s="69" t="s">
        <v>251</v>
      </c>
      <c r="E18" s="131">
        <f>SUM(E19:E20)</f>
        <v>0</v>
      </c>
      <c r="F18" s="131">
        <f>SUM(F19:F20)</f>
        <v>0</v>
      </c>
      <c r="G18" s="141">
        <f>SUM(G19:G20)</f>
        <v>0</v>
      </c>
      <c r="H18" s="49"/>
      <c r="J18" s="409"/>
      <c r="K18" s="411"/>
      <c r="L18" s="411"/>
      <c r="M18" s="411"/>
      <c r="N18" s="411"/>
      <c r="O18" s="411"/>
      <c r="P18" s="411"/>
      <c r="Q18" s="411"/>
      <c r="R18" s="411"/>
      <c r="S18" s="411"/>
      <c r="T18" s="411"/>
      <c r="U18" s="411"/>
      <c r="V18" s="411"/>
      <c r="W18" s="412"/>
    </row>
    <row r="19" spans="2:23" ht="23" customHeight="1" x14ac:dyDescent="0.2">
      <c r="B19" s="47"/>
      <c r="C19" s="142" t="s">
        <v>81</v>
      </c>
      <c r="D19" s="70" t="s">
        <v>252</v>
      </c>
      <c r="E19" s="450"/>
      <c r="F19" s="450"/>
      <c r="G19" s="466"/>
      <c r="H19" s="49"/>
      <c r="J19" s="409"/>
      <c r="K19" s="411"/>
      <c r="L19" s="411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2"/>
    </row>
    <row r="20" spans="2:23" ht="23" customHeight="1" x14ac:dyDescent="0.2">
      <c r="B20" s="47"/>
      <c r="C20" s="143" t="s">
        <v>88</v>
      </c>
      <c r="D20" s="71" t="s">
        <v>253</v>
      </c>
      <c r="E20" s="451"/>
      <c r="F20" s="451"/>
      <c r="G20" s="467"/>
      <c r="H20" s="49"/>
      <c r="J20" s="409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2"/>
    </row>
    <row r="21" spans="2:23" ht="23" customHeight="1" x14ac:dyDescent="0.2">
      <c r="B21" s="47"/>
      <c r="C21" s="140" t="s">
        <v>192</v>
      </c>
      <c r="D21" s="69" t="s">
        <v>254</v>
      </c>
      <c r="E21" s="452"/>
      <c r="F21" s="452"/>
      <c r="G21" s="468"/>
      <c r="H21" s="49"/>
      <c r="J21" s="409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2"/>
    </row>
    <row r="22" spans="2:23" ht="23" customHeight="1" x14ac:dyDescent="0.2">
      <c r="B22" s="47"/>
      <c r="C22" s="140" t="s">
        <v>197</v>
      </c>
      <c r="D22" s="69" t="s">
        <v>255</v>
      </c>
      <c r="E22" s="131">
        <f>SUM(E23:E26)</f>
        <v>-86923.67</v>
      </c>
      <c r="F22" s="131">
        <f>SUM(F23:F26)</f>
        <v>-43184.959999999999</v>
      </c>
      <c r="G22" s="141">
        <f>SUM(G23:G26)</f>
        <v>-43184.959999999999</v>
      </c>
      <c r="H22" s="49"/>
      <c r="J22" s="409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1"/>
      <c r="W22" s="412"/>
    </row>
    <row r="23" spans="2:23" ht="23" customHeight="1" x14ac:dyDescent="0.2">
      <c r="B23" s="47"/>
      <c r="C23" s="142" t="s">
        <v>81</v>
      </c>
      <c r="D23" s="70" t="s">
        <v>256</v>
      </c>
      <c r="E23" s="450"/>
      <c r="F23" s="450"/>
      <c r="G23" s="466"/>
      <c r="H23" s="49"/>
      <c r="J23" s="409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2"/>
    </row>
    <row r="24" spans="2:23" ht="23" customHeight="1" x14ac:dyDescent="0.2">
      <c r="B24" s="47"/>
      <c r="C24" s="143" t="s">
        <v>88</v>
      </c>
      <c r="D24" s="71" t="s">
        <v>257</v>
      </c>
      <c r="E24" s="451">
        <v>-86923.67</v>
      </c>
      <c r="F24" s="451">
        <v>-43184.959999999999</v>
      </c>
      <c r="G24" s="467">
        <v>-43184.959999999999</v>
      </c>
      <c r="H24" s="49"/>
      <c r="J24" s="409"/>
      <c r="K24" s="411"/>
      <c r="L24" s="411"/>
      <c r="M24" s="411"/>
      <c r="N24" s="411"/>
      <c r="O24" s="411"/>
      <c r="P24" s="411"/>
      <c r="Q24" s="411"/>
      <c r="R24" s="411"/>
      <c r="S24" s="411"/>
      <c r="T24" s="411"/>
      <c r="U24" s="411"/>
      <c r="V24" s="411"/>
      <c r="W24" s="412"/>
    </row>
    <row r="25" spans="2:23" ht="23" customHeight="1" x14ac:dyDescent="0.2">
      <c r="B25" s="47"/>
      <c r="C25" s="143" t="s">
        <v>90</v>
      </c>
      <c r="D25" s="71" t="s">
        <v>258</v>
      </c>
      <c r="E25" s="451"/>
      <c r="F25" s="451"/>
      <c r="G25" s="467"/>
      <c r="H25" s="49"/>
      <c r="J25" s="409"/>
      <c r="K25" s="411"/>
      <c r="L25" s="411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2"/>
    </row>
    <row r="26" spans="2:23" ht="23" customHeight="1" x14ac:dyDescent="0.2">
      <c r="B26" s="47"/>
      <c r="C26" s="143" t="s">
        <v>92</v>
      </c>
      <c r="D26" s="71" t="s">
        <v>313</v>
      </c>
      <c r="E26" s="451"/>
      <c r="F26" s="451"/>
      <c r="G26" s="467"/>
      <c r="H26" s="49"/>
      <c r="J26" s="409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2"/>
    </row>
    <row r="27" spans="2:23" ht="23" customHeight="1" x14ac:dyDescent="0.2">
      <c r="B27" s="47"/>
      <c r="C27" s="140" t="s">
        <v>201</v>
      </c>
      <c r="D27" s="69" t="s">
        <v>259</v>
      </c>
      <c r="E27" s="452"/>
      <c r="F27" s="452"/>
      <c r="G27" s="468"/>
      <c r="H27" s="49"/>
      <c r="J27" s="409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2"/>
    </row>
    <row r="28" spans="2:23" ht="23" customHeight="1" x14ac:dyDescent="0.2">
      <c r="B28" s="47"/>
      <c r="C28" s="140" t="s">
        <v>209</v>
      </c>
      <c r="D28" s="69" t="s">
        <v>260</v>
      </c>
      <c r="E28" s="131">
        <f>SUM(E29:E30)</f>
        <v>-11710879.210000001</v>
      </c>
      <c r="F28" s="131">
        <f>SUM(F29:F30)</f>
        <v>-13099056.140000001</v>
      </c>
      <c r="G28" s="141">
        <f>SUM(G29:G30)</f>
        <v>-14498128.07</v>
      </c>
      <c r="H28" s="49"/>
      <c r="J28" s="409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1"/>
      <c r="W28" s="412"/>
    </row>
    <row r="29" spans="2:23" ht="23" customHeight="1" x14ac:dyDescent="0.2">
      <c r="B29" s="47"/>
      <c r="C29" s="142" t="s">
        <v>81</v>
      </c>
      <c r="D29" s="70" t="s">
        <v>261</v>
      </c>
      <c r="E29" s="450">
        <v>1458.19</v>
      </c>
      <c r="F29" s="450">
        <v>1458.19</v>
      </c>
      <c r="G29" s="466">
        <v>1458.19</v>
      </c>
      <c r="H29" s="49"/>
      <c r="J29" s="409"/>
      <c r="K29" s="411"/>
      <c r="L29" s="411"/>
      <c r="M29" s="411"/>
      <c r="N29" s="411"/>
      <c r="O29" s="411"/>
      <c r="P29" s="411"/>
      <c r="Q29" s="411"/>
      <c r="R29" s="411"/>
      <c r="S29" s="411"/>
      <c r="T29" s="411"/>
      <c r="U29" s="411"/>
      <c r="V29" s="411"/>
      <c r="W29" s="412"/>
    </row>
    <row r="30" spans="2:23" ht="23" customHeight="1" x14ac:dyDescent="0.2">
      <c r="B30" s="47"/>
      <c r="C30" s="143" t="s">
        <v>88</v>
      </c>
      <c r="D30" s="71" t="s">
        <v>262</v>
      </c>
      <c r="E30" s="451">
        <v>-11712337.4</v>
      </c>
      <c r="F30" s="451">
        <v>-13100514.33</v>
      </c>
      <c r="G30" s="467">
        <v>-14499586.26</v>
      </c>
      <c r="H30" s="49"/>
      <c r="J30" s="409"/>
      <c r="K30" s="411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1"/>
    </row>
    <row r="31" spans="2:23" ht="23" customHeight="1" x14ac:dyDescent="0.2">
      <c r="B31" s="47"/>
      <c r="C31" s="140" t="s">
        <v>212</v>
      </c>
      <c r="D31" s="69" t="s">
        <v>263</v>
      </c>
      <c r="E31" s="452">
        <v>13091997.98</v>
      </c>
      <c r="F31" s="452">
        <v>14490849.130000001</v>
      </c>
      <c r="G31" s="468">
        <f>15871581.31+52428.25</f>
        <v>15924009.560000001</v>
      </c>
      <c r="H31" s="49"/>
      <c r="J31" s="409"/>
      <c r="K31" s="411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1"/>
    </row>
    <row r="32" spans="2:23" ht="23" customHeight="1" x14ac:dyDescent="0.2">
      <c r="B32" s="47"/>
      <c r="C32" s="140" t="s">
        <v>214</v>
      </c>
      <c r="D32" s="69" t="s">
        <v>264</v>
      </c>
      <c r="E32" s="452">
        <v>-1388176.93</v>
      </c>
      <c r="F32" s="452">
        <v>-1399071.93</v>
      </c>
      <c r="G32" s="468">
        <f>-1380732.18-52428.25</f>
        <v>-1433160.43</v>
      </c>
      <c r="H32" s="49"/>
      <c r="J32" s="409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2"/>
    </row>
    <row r="33" spans="2:23" ht="23" customHeight="1" x14ac:dyDescent="0.2">
      <c r="B33" s="47"/>
      <c r="C33" s="140" t="s">
        <v>265</v>
      </c>
      <c r="D33" s="69" t="s">
        <v>266</v>
      </c>
      <c r="E33" s="452"/>
      <c r="F33" s="452"/>
      <c r="G33" s="468"/>
      <c r="H33" s="49"/>
      <c r="J33" s="409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2"/>
    </row>
    <row r="34" spans="2:23" ht="23" customHeight="1" x14ac:dyDescent="0.2">
      <c r="B34" s="47"/>
      <c r="C34" s="140" t="s">
        <v>267</v>
      </c>
      <c r="D34" s="69" t="s">
        <v>268</v>
      </c>
      <c r="E34" s="452"/>
      <c r="F34" s="452"/>
      <c r="G34" s="468"/>
      <c r="H34" s="49"/>
      <c r="J34" s="409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2"/>
    </row>
    <row r="35" spans="2:23" ht="23" customHeight="1" x14ac:dyDescent="0.2">
      <c r="B35" s="47"/>
      <c r="C35" s="140" t="s">
        <v>163</v>
      </c>
      <c r="D35" s="69" t="s">
        <v>269</v>
      </c>
      <c r="E35" s="131">
        <f>SUM(E36:E40)</f>
        <v>0</v>
      </c>
      <c r="F35" s="131">
        <f>SUM(F36:F40)</f>
        <v>0</v>
      </c>
      <c r="G35" s="141">
        <f>SUM(G36:G40)</f>
        <v>0</v>
      </c>
      <c r="H35" s="49"/>
      <c r="J35" s="409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2"/>
    </row>
    <row r="36" spans="2:23" ht="23" customHeight="1" x14ac:dyDescent="0.2">
      <c r="B36" s="47"/>
      <c r="C36" s="140" t="s">
        <v>182</v>
      </c>
      <c r="D36" s="69" t="s">
        <v>270</v>
      </c>
      <c r="E36" s="452"/>
      <c r="F36" s="452"/>
      <c r="G36" s="468"/>
      <c r="H36" s="49"/>
      <c r="J36" s="422"/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4"/>
    </row>
    <row r="37" spans="2:23" ht="23" customHeight="1" x14ac:dyDescent="0.2">
      <c r="B37" s="47"/>
      <c r="C37" s="140" t="s">
        <v>192</v>
      </c>
      <c r="D37" s="69" t="s">
        <v>271</v>
      </c>
      <c r="E37" s="452"/>
      <c r="F37" s="452"/>
      <c r="G37" s="468"/>
      <c r="H37" s="49"/>
      <c r="J37" s="422"/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4"/>
    </row>
    <row r="38" spans="2:23" ht="23" customHeight="1" x14ac:dyDescent="0.2">
      <c r="B38" s="47"/>
      <c r="C38" s="140" t="s">
        <v>197</v>
      </c>
      <c r="D38" s="69" t="s">
        <v>272</v>
      </c>
      <c r="E38" s="452"/>
      <c r="F38" s="452"/>
      <c r="G38" s="468"/>
      <c r="H38" s="49"/>
      <c r="J38" s="422"/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4"/>
    </row>
    <row r="39" spans="2:23" ht="23" customHeight="1" x14ac:dyDescent="0.2">
      <c r="B39" s="47"/>
      <c r="C39" s="140" t="s">
        <v>201</v>
      </c>
      <c r="D39" s="69" t="s">
        <v>273</v>
      </c>
      <c r="E39" s="452"/>
      <c r="F39" s="452"/>
      <c r="G39" s="468"/>
      <c r="H39" s="49"/>
      <c r="J39" s="422"/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4"/>
    </row>
    <row r="40" spans="2:23" ht="23" customHeight="1" x14ac:dyDescent="0.2">
      <c r="B40" s="47"/>
      <c r="C40" s="140" t="s">
        <v>209</v>
      </c>
      <c r="D40" s="69" t="s">
        <v>274</v>
      </c>
      <c r="E40" s="452"/>
      <c r="F40" s="452"/>
      <c r="G40" s="468"/>
      <c r="H40" s="49"/>
      <c r="J40" s="422"/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4"/>
    </row>
    <row r="41" spans="2:23" ht="23" customHeight="1" x14ac:dyDescent="0.2">
      <c r="B41" s="47"/>
      <c r="C41" s="140" t="s">
        <v>165</v>
      </c>
      <c r="D41" s="69" t="s">
        <v>275</v>
      </c>
      <c r="E41" s="452">
        <v>7622192.6699999999</v>
      </c>
      <c r="F41" s="452">
        <v>8273466.8499999996</v>
      </c>
      <c r="G41" s="468">
        <f>8259254.87+30000+243352.5</f>
        <v>8532607.370000001</v>
      </c>
      <c r="H41" s="49"/>
      <c r="J41" s="422"/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4"/>
    </row>
    <row r="42" spans="2:23" ht="23" customHeight="1" x14ac:dyDescent="0.2">
      <c r="B42" s="47"/>
      <c r="C42" s="145"/>
      <c r="D42" s="63"/>
      <c r="E42" s="134"/>
      <c r="F42" s="134"/>
      <c r="G42" s="146"/>
      <c r="H42" s="49"/>
      <c r="J42" s="422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4"/>
    </row>
    <row r="43" spans="2:23" ht="23" customHeight="1" x14ac:dyDescent="0.2">
      <c r="B43" s="47"/>
      <c r="C43" s="138" t="s">
        <v>276</v>
      </c>
      <c r="D43" s="83" t="s">
        <v>277</v>
      </c>
      <c r="E43" s="130">
        <f>E44+E49+SUM(E55:E59)</f>
        <v>1863876.57</v>
      </c>
      <c r="F43" s="130">
        <f>F44+F49+SUM(F55:F59)</f>
        <v>1661350.47</v>
      </c>
      <c r="G43" s="139">
        <f>G44+G49+SUM(G55:G59)</f>
        <v>1428113.1400000001</v>
      </c>
      <c r="H43" s="49"/>
      <c r="J43" s="422"/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4"/>
    </row>
    <row r="44" spans="2:23" ht="23" customHeight="1" x14ac:dyDescent="0.2">
      <c r="B44" s="47"/>
      <c r="C44" s="140" t="s">
        <v>182</v>
      </c>
      <c r="D44" s="69" t="s">
        <v>278</v>
      </c>
      <c r="E44" s="131">
        <f>SUM(E45:E48)</f>
        <v>0</v>
      </c>
      <c r="F44" s="131">
        <f>SUM(F45:F48)</f>
        <v>0</v>
      </c>
      <c r="G44" s="141">
        <f>SUM(G45:G48)</f>
        <v>0</v>
      </c>
      <c r="H44" s="49"/>
      <c r="J44" s="422"/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4"/>
    </row>
    <row r="45" spans="2:23" ht="23" customHeight="1" x14ac:dyDescent="0.2">
      <c r="B45" s="47"/>
      <c r="C45" s="142" t="s">
        <v>81</v>
      </c>
      <c r="D45" s="70" t="s">
        <v>279</v>
      </c>
      <c r="E45" s="450"/>
      <c r="F45" s="450"/>
      <c r="G45" s="466"/>
      <c r="H45" s="49"/>
      <c r="J45" s="422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4"/>
    </row>
    <row r="46" spans="2:23" ht="23" customHeight="1" x14ac:dyDescent="0.2">
      <c r="B46" s="47"/>
      <c r="C46" s="143" t="s">
        <v>88</v>
      </c>
      <c r="D46" s="71" t="s">
        <v>280</v>
      </c>
      <c r="E46" s="451"/>
      <c r="F46" s="451"/>
      <c r="G46" s="467"/>
      <c r="H46" s="49"/>
      <c r="J46" s="422"/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4"/>
    </row>
    <row r="47" spans="2:23" ht="23" customHeight="1" x14ac:dyDescent="0.2">
      <c r="B47" s="47"/>
      <c r="C47" s="143" t="s">
        <v>90</v>
      </c>
      <c r="D47" s="71" t="s">
        <v>281</v>
      </c>
      <c r="E47" s="451"/>
      <c r="F47" s="451"/>
      <c r="G47" s="467"/>
      <c r="H47" s="49"/>
      <c r="J47" s="422"/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4"/>
    </row>
    <row r="48" spans="2:23" ht="23" customHeight="1" x14ac:dyDescent="0.2">
      <c r="B48" s="47"/>
      <c r="C48" s="143" t="s">
        <v>92</v>
      </c>
      <c r="D48" s="71" t="s">
        <v>282</v>
      </c>
      <c r="E48" s="451"/>
      <c r="F48" s="451"/>
      <c r="G48" s="467"/>
      <c r="H48" s="49"/>
      <c r="J48" s="422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4"/>
    </row>
    <row r="49" spans="2:23" ht="23" customHeight="1" x14ac:dyDescent="0.2">
      <c r="B49" s="47"/>
      <c r="C49" s="140" t="s">
        <v>192</v>
      </c>
      <c r="D49" s="69" t="s">
        <v>283</v>
      </c>
      <c r="E49" s="131">
        <f>SUM(E50:E54)</f>
        <v>1847913.27</v>
      </c>
      <c r="F49" s="131">
        <f>SUM(F50:F54)</f>
        <v>1619413.27</v>
      </c>
      <c r="G49" s="141">
        <f>SUM(G50:G54)</f>
        <v>1390913.27</v>
      </c>
      <c r="H49" s="49"/>
      <c r="J49" s="422"/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4"/>
    </row>
    <row r="50" spans="2:23" ht="23" customHeight="1" x14ac:dyDescent="0.2">
      <c r="B50" s="47"/>
      <c r="C50" s="142" t="s">
        <v>81</v>
      </c>
      <c r="D50" s="70" t="s">
        <v>284</v>
      </c>
      <c r="E50" s="450"/>
      <c r="F50" s="450"/>
      <c r="G50" s="466"/>
      <c r="H50" s="49"/>
      <c r="J50" s="422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4"/>
    </row>
    <row r="51" spans="2:23" s="74" customFormat="1" ht="23" customHeight="1" x14ac:dyDescent="0.2">
      <c r="B51" s="23"/>
      <c r="C51" s="143" t="s">
        <v>88</v>
      </c>
      <c r="D51" s="71" t="s">
        <v>285</v>
      </c>
      <c r="E51" s="451"/>
      <c r="F51" s="451"/>
      <c r="G51" s="467"/>
      <c r="H51" s="60"/>
      <c r="J51" s="422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4"/>
    </row>
    <row r="52" spans="2:23" ht="23" customHeight="1" x14ac:dyDescent="0.2">
      <c r="B52" s="47"/>
      <c r="C52" s="143" t="s">
        <v>90</v>
      </c>
      <c r="D52" s="71" t="s">
        <v>286</v>
      </c>
      <c r="E52" s="451"/>
      <c r="F52" s="451"/>
      <c r="G52" s="467"/>
      <c r="H52" s="49"/>
      <c r="J52" s="422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4"/>
    </row>
    <row r="53" spans="2:23" ht="23" customHeight="1" x14ac:dyDescent="0.2">
      <c r="B53" s="47"/>
      <c r="C53" s="143" t="s">
        <v>92</v>
      </c>
      <c r="D53" s="71" t="s">
        <v>206</v>
      </c>
      <c r="E53" s="451"/>
      <c r="F53" s="451"/>
      <c r="G53" s="467"/>
      <c r="H53" s="49"/>
      <c r="J53" s="422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4"/>
    </row>
    <row r="54" spans="2:23" ht="23" customHeight="1" x14ac:dyDescent="0.2">
      <c r="B54" s="47"/>
      <c r="C54" s="143" t="s">
        <v>188</v>
      </c>
      <c r="D54" s="71" t="s">
        <v>287</v>
      </c>
      <c r="E54" s="451">
        <v>1847913.27</v>
      </c>
      <c r="F54" s="451">
        <f>1847913.27-228500</f>
        <v>1619413.27</v>
      </c>
      <c r="G54" s="467">
        <f>1619413.27-228500</f>
        <v>1390913.27</v>
      </c>
      <c r="H54" s="49"/>
      <c r="J54" s="422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4"/>
    </row>
    <row r="55" spans="2:23" ht="23" customHeight="1" x14ac:dyDescent="0.2">
      <c r="B55" s="47"/>
      <c r="C55" s="140" t="s">
        <v>197</v>
      </c>
      <c r="D55" s="69" t="s">
        <v>288</v>
      </c>
      <c r="E55" s="452"/>
      <c r="F55" s="452"/>
      <c r="G55" s="468"/>
      <c r="H55" s="49"/>
      <c r="J55" s="422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4"/>
    </row>
    <row r="56" spans="2:23" ht="23" customHeight="1" x14ac:dyDescent="0.2">
      <c r="B56" s="47"/>
      <c r="C56" s="140" t="s">
        <v>201</v>
      </c>
      <c r="D56" s="69" t="s">
        <v>289</v>
      </c>
      <c r="E56" s="452">
        <v>15963.3</v>
      </c>
      <c r="F56" s="452">
        <v>41937.199999999997</v>
      </c>
      <c r="G56" s="468">
        <v>37199.870000000003</v>
      </c>
      <c r="H56" s="49"/>
      <c r="J56" s="422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4"/>
    </row>
    <row r="57" spans="2:23" ht="23" customHeight="1" x14ac:dyDescent="0.2">
      <c r="B57" s="47"/>
      <c r="C57" s="140" t="s">
        <v>209</v>
      </c>
      <c r="D57" s="69" t="s">
        <v>290</v>
      </c>
      <c r="E57" s="452"/>
      <c r="F57" s="452"/>
      <c r="G57" s="468"/>
      <c r="H57" s="49"/>
      <c r="J57" s="422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4"/>
    </row>
    <row r="58" spans="2:23" ht="23" customHeight="1" x14ac:dyDescent="0.2">
      <c r="B58" s="47"/>
      <c r="C58" s="140" t="s">
        <v>212</v>
      </c>
      <c r="D58" s="69" t="s">
        <v>291</v>
      </c>
      <c r="E58" s="452"/>
      <c r="F58" s="452"/>
      <c r="G58" s="468"/>
      <c r="H58" s="49"/>
      <c r="J58" s="422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4"/>
    </row>
    <row r="59" spans="2:23" ht="23" customHeight="1" x14ac:dyDescent="0.2">
      <c r="B59" s="47"/>
      <c r="C59" s="140" t="s">
        <v>214</v>
      </c>
      <c r="D59" s="69" t="s">
        <v>292</v>
      </c>
      <c r="E59" s="452"/>
      <c r="F59" s="452"/>
      <c r="G59" s="468"/>
      <c r="H59" s="49"/>
      <c r="J59" s="422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4"/>
    </row>
    <row r="60" spans="2:23" ht="23" customHeight="1" x14ac:dyDescent="0.2">
      <c r="B60" s="47"/>
      <c r="C60" s="147"/>
      <c r="D60" s="1"/>
      <c r="E60" s="134"/>
      <c r="F60" s="134"/>
      <c r="G60" s="146"/>
      <c r="H60" s="49"/>
      <c r="J60" s="422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4"/>
    </row>
    <row r="61" spans="2:23" ht="23" customHeight="1" x14ac:dyDescent="0.2">
      <c r="B61" s="47"/>
      <c r="C61" s="138" t="s">
        <v>293</v>
      </c>
      <c r="D61" s="83" t="s">
        <v>294</v>
      </c>
      <c r="E61" s="130">
        <f>E62+E63+E66+E72+E73+E83+E84</f>
        <v>1524774.33</v>
      </c>
      <c r="F61" s="130">
        <f>F62+F63+F66+F72+F73+F83+F84</f>
        <v>591254.01</v>
      </c>
      <c r="G61" s="139">
        <f>G62+G63+G66+G72+G73+G83+G84</f>
        <v>792622.79</v>
      </c>
      <c r="H61" s="49"/>
      <c r="J61" s="422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4"/>
    </row>
    <row r="62" spans="2:23" ht="23" customHeight="1" x14ac:dyDescent="0.2">
      <c r="B62" s="47"/>
      <c r="C62" s="140" t="s">
        <v>182</v>
      </c>
      <c r="D62" s="69" t="s">
        <v>295</v>
      </c>
      <c r="E62" s="452"/>
      <c r="F62" s="452"/>
      <c r="G62" s="468"/>
      <c r="H62" s="49"/>
      <c r="J62" s="422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4"/>
    </row>
    <row r="63" spans="2:23" ht="23" customHeight="1" x14ac:dyDescent="0.2">
      <c r="B63" s="47"/>
      <c r="C63" s="140" t="s">
        <v>192</v>
      </c>
      <c r="D63" s="69" t="s">
        <v>296</v>
      </c>
      <c r="E63" s="131">
        <f>SUM(E64:E65)</f>
        <v>0</v>
      </c>
      <c r="F63" s="131">
        <f>SUM(F64:F65)</f>
        <v>0</v>
      </c>
      <c r="G63" s="141">
        <f>SUM(G64:G65)</f>
        <v>0</v>
      </c>
      <c r="H63" s="49"/>
      <c r="J63" s="422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4"/>
    </row>
    <row r="64" spans="2:23" ht="23" customHeight="1" x14ac:dyDescent="0.2">
      <c r="B64" s="47"/>
      <c r="C64" s="142" t="s">
        <v>81</v>
      </c>
      <c r="D64" s="70" t="s">
        <v>297</v>
      </c>
      <c r="E64" s="450"/>
      <c r="F64" s="450"/>
      <c r="G64" s="466"/>
      <c r="H64" s="49"/>
      <c r="J64" s="422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4"/>
    </row>
    <row r="65" spans="2:23" ht="23" customHeight="1" x14ac:dyDescent="0.2">
      <c r="B65" s="47"/>
      <c r="C65" s="143" t="s">
        <v>88</v>
      </c>
      <c r="D65" s="71" t="s">
        <v>282</v>
      </c>
      <c r="E65" s="451"/>
      <c r="F65" s="451"/>
      <c r="G65" s="467"/>
      <c r="H65" s="49"/>
      <c r="J65" s="422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4"/>
    </row>
    <row r="66" spans="2:23" ht="23" customHeight="1" x14ac:dyDescent="0.2">
      <c r="B66" s="47"/>
      <c r="C66" s="140" t="s">
        <v>197</v>
      </c>
      <c r="D66" s="69" t="s">
        <v>298</v>
      </c>
      <c r="E66" s="131">
        <f>SUM(E67:E71)</f>
        <v>655773.06000000006</v>
      </c>
      <c r="F66" s="131">
        <f>SUM(F67:F71)</f>
        <v>229550</v>
      </c>
      <c r="G66" s="141">
        <f>SUM(G67:G71)</f>
        <v>229550</v>
      </c>
      <c r="H66" s="49"/>
      <c r="J66" s="422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4"/>
    </row>
    <row r="67" spans="2:23" ht="23" customHeight="1" x14ac:dyDescent="0.2">
      <c r="B67" s="47"/>
      <c r="C67" s="142" t="s">
        <v>81</v>
      </c>
      <c r="D67" s="70" t="s">
        <v>299</v>
      </c>
      <c r="E67" s="450"/>
      <c r="F67" s="450"/>
      <c r="G67" s="466"/>
      <c r="H67" s="49"/>
      <c r="J67" s="422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4"/>
    </row>
    <row r="68" spans="2:23" ht="23" customHeight="1" x14ac:dyDescent="0.2">
      <c r="B68" s="47"/>
      <c r="C68" s="143" t="s">
        <v>88</v>
      </c>
      <c r="D68" s="71" t="s">
        <v>285</v>
      </c>
      <c r="E68" s="451"/>
      <c r="F68" s="451"/>
      <c r="G68" s="467"/>
      <c r="H68" s="49"/>
      <c r="J68" s="422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4"/>
    </row>
    <row r="69" spans="2:23" ht="23" customHeight="1" x14ac:dyDescent="0.2">
      <c r="B69" s="47"/>
      <c r="C69" s="143" t="s">
        <v>90</v>
      </c>
      <c r="D69" s="71" t="s">
        <v>286</v>
      </c>
      <c r="E69" s="451"/>
      <c r="F69" s="451"/>
      <c r="G69" s="467"/>
      <c r="H69" s="49"/>
      <c r="J69" s="422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4"/>
    </row>
    <row r="70" spans="2:23" ht="23" customHeight="1" x14ac:dyDescent="0.2">
      <c r="B70" s="47"/>
      <c r="C70" s="143" t="s">
        <v>92</v>
      </c>
      <c r="D70" s="71" t="s">
        <v>206</v>
      </c>
      <c r="E70" s="451"/>
      <c r="F70" s="451"/>
      <c r="G70" s="467"/>
      <c r="H70" s="49"/>
      <c r="J70" s="422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4"/>
    </row>
    <row r="71" spans="2:23" ht="23" customHeight="1" x14ac:dyDescent="0.2">
      <c r="B71" s="47"/>
      <c r="C71" s="143" t="s">
        <v>188</v>
      </c>
      <c r="D71" s="71" t="s">
        <v>287</v>
      </c>
      <c r="E71" s="451">
        <v>655773.06000000006</v>
      </c>
      <c r="F71" s="451">
        <f>1050+228500</f>
        <v>229550</v>
      </c>
      <c r="G71" s="467">
        <f>1050+228500</f>
        <v>229550</v>
      </c>
      <c r="H71" s="49"/>
      <c r="J71" s="422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4"/>
    </row>
    <row r="72" spans="2:23" ht="23" customHeight="1" x14ac:dyDescent="0.2">
      <c r="B72" s="47"/>
      <c r="C72" s="140" t="s">
        <v>201</v>
      </c>
      <c r="D72" s="69" t="s">
        <v>300</v>
      </c>
      <c r="E72" s="452"/>
      <c r="F72" s="452"/>
      <c r="G72" s="468"/>
      <c r="H72" s="49"/>
      <c r="J72" s="422"/>
      <c r="K72" s="1238"/>
      <c r="L72" s="1238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4"/>
    </row>
    <row r="73" spans="2:23" ht="23" customHeight="1" x14ac:dyDescent="0.2">
      <c r="B73" s="47"/>
      <c r="C73" s="140" t="s">
        <v>209</v>
      </c>
      <c r="D73" s="69" t="s">
        <v>301</v>
      </c>
      <c r="E73" s="131">
        <f>E74+SUM(E77:E82)</f>
        <v>869001.2699999999</v>
      </c>
      <c r="F73" s="131">
        <f>F74+SUM(F77:F82)</f>
        <v>361704.01</v>
      </c>
      <c r="G73" s="141">
        <f>G74+SUM(G77:G82)</f>
        <v>563072.79</v>
      </c>
      <c r="H73" s="49"/>
      <c r="J73" s="422"/>
      <c r="K73" s="1238"/>
      <c r="L73" s="1238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4"/>
    </row>
    <row r="74" spans="2:23" ht="23" customHeight="1" x14ac:dyDescent="0.2">
      <c r="B74" s="47"/>
      <c r="C74" s="143" t="s">
        <v>81</v>
      </c>
      <c r="D74" s="71" t="s">
        <v>302</v>
      </c>
      <c r="E74" s="133">
        <f>SUM(E75:E76)</f>
        <v>0</v>
      </c>
      <c r="F74" s="133">
        <f>SUM(F75:F76)</f>
        <v>0</v>
      </c>
      <c r="G74" s="144">
        <f>SUM(G75:G76)</f>
        <v>0</v>
      </c>
      <c r="H74" s="49"/>
      <c r="J74" s="422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4"/>
    </row>
    <row r="75" spans="2:23" ht="23" customHeight="1" x14ac:dyDescent="0.15">
      <c r="B75" s="47"/>
      <c r="C75" s="148" t="s">
        <v>82</v>
      </c>
      <c r="D75" s="86" t="s">
        <v>303</v>
      </c>
      <c r="E75" s="469"/>
      <c r="F75" s="469"/>
      <c r="G75" s="470"/>
      <c r="H75" s="49"/>
      <c r="J75" s="422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4"/>
    </row>
    <row r="76" spans="2:23" ht="23" customHeight="1" x14ac:dyDescent="0.15">
      <c r="B76" s="47"/>
      <c r="C76" s="148" t="s">
        <v>84</v>
      </c>
      <c r="D76" s="86" t="s">
        <v>304</v>
      </c>
      <c r="E76" s="469"/>
      <c r="F76" s="469"/>
      <c r="G76" s="470"/>
      <c r="H76" s="49"/>
      <c r="J76" s="422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4"/>
    </row>
    <row r="77" spans="2:23" ht="23" customHeight="1" x14ac:dyDescent="0.2">
      <c r="B77" s="47"/>
      <c r="C77" s="143" t="s">
        <v>88</v>
      </c>
      <c r="D77" s="71" t="s">
        <v>305</v>
      </c>
      <c r="E77" s="451"/>
      <c r="F77" s="451"/>
      <c r="G77" s="467"/>
      <c r="H77" s="49"/>
      <c r="J77" s="422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4"/>
    </row>
    <row r="78" spans="2:23" ht="23" customHeight="1" x14ac:dyDescent="0.2">
      <c r="B78" s="47"/>
      <c r="C78" s="143" t="s">
        <v>90</v>
      </c>
      <c r="D78" s="71" t="s">
        <v>306</v>
      </c>
      <c r="E78" s="451">
        <v>762130.36</v>
      </c>
      <c r="F78" s="451">
        <v>301176.2</v>
      </c>
      <c r="G78" s="467">
        <f>493614.07+1000</f>
        <v>494614.07</v>
      </c>
      <c r="H78" s="49"/>
      <c r="J78" s="422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4"/>
    </row>
    <row r="79" spans="2:23" ht="23" customHeight="1" x14ac:dyDescent="0.2">
      <c r="B79" s="47"/>
      <c r="C79" s="143" t="s">
        <v>92</v>
      </c>
      <c r="D79" s="71" t="s">
        <v>307</v>
      </c>
      <c r="E79" s="451">
        <v>500.09</v>
      </c>
      <c r="F79" s="451"/>
      <c r="G79" s="467"/>
      <c r="H79" s="49"/>
      <c r="J79" s="422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4"/>
    </row>
    <row r="80" spans="2:23" ht="23" customHeight="1" x14ac:dyDescent="0.2">
      <c r="B80" s="47"/>
      <c r="C80" s="143" t="s">
        <v>188</v>
      </c>
      <c r="D80" s="71" t="s">
        <v>308</v>
      </c>
      <c r="E80" s="451"/>
      <c r="F80" s="451"/>
      <c r="G80" s="467"/>
      <c r="H80" s="49"/>
      <c r="J80" s="422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4"/>
    </row>
    <row r="81" spans="2:23" ht="23" customHeight="1" x14ac:dyDescent="0.2">
      <c r="B81" s="47"/>
      <c r="C81" s="143" t="s">
        <v>102</v>
      </c>
      <c r="D81" s="71" t="s">
        <v>309</v>
      </c>
      <c r="E81" s="451">
        <f>92990.9+13380.11-0.19</f>
        <v>106370.81999999999</v>
      </c>
      <c r="F81" s="451">
        <f>35360.56+25167.25</f>
        <v>60527.81</v>
      </c>
      <c r="G81" s="467">
        <v>68458.720000000001</v>
      </c>
      <c r="H81" s="49"/>
      <c r="J81" s="422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4"/>
    </row>
    <row r="82" spans="2:23" ht="23" customHeight="1" x14ac:dyDescent="0.2">
      <c r="B82" s="47"/>
      <c r="C82" s="143" t="s">
        <v>107</v>
      </c>
      <c r="D82" s="71" t="s">
        <v>310</v>
      </c>
      <c r="E82" s="451"/>
      <c r="F82" s="451"/>
      <c r="G82" s="467"/>
      <c r="H82" s="49"/>
      <c r="J82" s="422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4"/>
    </row>
    <row r="83" spans="2:23" ht="23" customHeight="1" x14ac:dyDescent="0.2">
      <c r="B83" s="47"/>
      <c r="C83" s="140" t="s">
        <v>212</v>
      </c>
      <c r="D83" s="69" t="s">
        <v>238</v>
      </c>
      <c r="E83" s="452"/>
      <c r="F83" s="452"/>
      <c r="G83" s="468"/>
      <c r="H83" s="49"/>
      <c r="J83" s="422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4"/>
    </row>
    <row r="84" spans="2:23" ht="23" customHeight="1" x14ac:dyDescent="0.2">
      <c r="B84" s="47"/>
      <c r="C84" s="140" t="s">
        <v>214</v>
      </c>
      <c r="D84" s="69" t="s">
        <v>311</v>
      </c>
      <c r="E84" s="452"/>
      <c r="F84" s="452"/>
      <c r="G84" s="468"/>
      <c r="H84" s="49"/>
      <c r="J84" s="422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4"/>
    </row>
    <row r="85" spans="2:23" ht="23" customHeight="1" x14ac:dyDescent="0.2">
      <c r="B85" s="47"/>
      <c r="C85" s="136"/>
      <c r="D85" s="85"/>
      <c r="E85" s="134"/>
      <c r="F85" s="134"/>
      <c r="G85" s="146"/>
      <c r="H85" s="49"/>
      <c r="J85" s="422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4"/>
    </row>
    <row r="86" spans="2:23" ht="23" customHeight="1" thickBot="1" x14ac:dyDescent="0.25">
      <c r="B86" s="47"/>
      <c r="C86" s="149" t="s">
        <v>312</v>
      </c>
      <c r="D86" s="78"/>
      <c r="E86" s="135">
        <f>E16+E43+E61</f>
        <v>10916861.74</v>
      </c>
      <c r="F86" s="135">
        <f>F16+F43+F61</f>
        <v>10475607.43</v>
      </c>
      <c r="G86" s="150">
        <f>G16+G43+G61</f>
        <v>10702879.400000002</v>
      </c>
      <c r="H86" s="49"/>
      <c r="J86" s="422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4"/>
    </row>
    <row r="87" spans="2:23" ht="23" customHeight="1" thickBot="1" x14ac:dyDescent="0.2">
      <c r="B87" s="51"/>
      <c r="C87" s="1375"/>
      <c r="D87" s="1375"/>
      <c r="E87" s="1375"/>
      <c r="F87" s="1375"/>
      <c r="G87" s="53"/>
      <c r="H87" s="54"/>
      <c r="J87" s="425"/>
      <c r="K87" s="426"/>
      <c r="L87" s="426"/>
      <c r="M87" s="426"/>
      <c r="N87" s="426"/>
      <c r="O87" s="426"/>
      <c r="P87" s="426"/>
      <c r="Q87" s="426"/>
      <c r="R87" s="426"/>
      <c r="S87" s="426"/>
      <c r="T87" s="426"/>
      <c r="U87" s="426"/>
      <c r="V87" s="426"/>
      <c r="W87" s="427"/>
    </row>
    <row r="88" spans="2:23" ht="23" customHeight="1" x14ac:dyDescent="0.15">
      <c r="C88" s="43"/>
      <c r="D88" s="43"/>
      <c r="E88" s="43"/>
      <c r="F88" s="43"/>
      <c r="G88" s="43"/>
      <c r="I88" s="41" t="s">
        <v>936</v>
      </c>
    </row>
    <row r="89" spans="2:23" ht="13" x14ac:dyDescent="0.15">
      <c r="C89" s="36" t="s">
        <v>70</v>
      </c>
      <c r="D89" s="43"/>
      <c r="E89" s="43"/>
      <c r="F89" s="43"/>
      <c r="G89" s="40" t="s">
        <v>676</v>
      </c>
    </row>
    <row r="90" spans="2:23" ht="13" x14ac:dyDescent="0.15">
      <c r="C90" s="37" t="s">
        <v>71</v>
      </c>
      <c r="D90" s="43"/>
      <c r="E90" s="43"/>
      <c r="F90" s="43"/>
      <c r="G90" s="43"/>
    </row>
    <row r="91" spans="2:23" ht="13" x14ac:dyDescent="0.15">
      <c r="C91" s="37" t="s">
        <v>72</v>
      </c>
      <c r="D91" s="43"/>
      <c r="E91" s="43"/>
      <c r="F91" s="43"/>
      <c r="G91" s="43"/>
    </row>
    <row r="92" spans="2:23" ht="13" x14ac:dyDescent="0.15">
      <c r="C92" s="37" t="s">
        <v>73</v>
      </c>
      <c r="D92" s="43"/>
      <c r="E92" s="43"/>
      <c r="F92" s="43"/>
      <c r="G92" s="43"/>
    </row>
    <row r="93" spans="2:23" ht="13" x14ac:dyDescent="0.15">
      <c r="C93" s="37" t="s">
        <v>74</v>
      </c>
      <c r="D93" s="43"/>
      <c r="E93" s="43"/>
      <c r="F93" s="43"/>
      <c r="G93" s="43"/>
    </row>
    <row r="94" spans="2:23" ht="23" customHeight="1" x14ac:dyDescent="0.2">
      <c r="C94" s="43"/>
      <c r="D94" s="43"/>
      <c r="E94" s="712" t="str">
        <f>IF(_CHECK_LIST!J15&gt;0,"Revisa","")</f>
        <v/>
      </c>
      <c r="F94" s="712" t="str">
        <f>IF(_CHECK_LIST!K15&gt;0,"Revisa","")</f>
        <v/>
      </c>
      <c r="G94" s="712" t="str">
        <f>IF(_CHECK_LIST!L15&gt;0,"Revisa","")</f>
        <v/>
      </c>
    </row>
    <row r="95" spans="2:23" ht="23" customHeight="1" x14ac:dyDescent="0.15">
      <c r="C95" s="43"/>
      <c r="D95" s="43"/>
      <c r="E95" s="43"/>
      <c r="F95" s="43"/>
      <c r="G95" s="43"/>
    </row>
    <row r="96" spans="2:23" ht="23" customHeight="1" x14ac:dyDescent="0.15">
      <c r="C96" s="43"/>
      <c r="D96" s="43"/>
      <c r="E96" s="43"/>
      <c r="F96" s="43"/>
      <c r="G96" s="43"/>
    </row>
    <row r="97" spans="3:7" ht="23" customHeight="1" x14ac:dyDescent="0.15">
      <c r="C97" s="43"/>
      <c r="D97" s="43"/>
      <c r="E97" s="43"/>
      <c r="F97" s="43"/>
      <c r="G97" s="43"/>
    </row>
    <row r="98" spans="3:7" ht="23" customHeight="1" x14ac:dyDescent="0.15">
      <c r="F98" s="43"/>
      <c r="G98" s="43"/>
    </row>
  </sheetData>
  <sheetProtection sheet="1" objects="1" scenarios="1"/>
  <mergeCells count="3">
    <mergeCell ref="G6:G7"/>
    <mergeCell ref="D9:G9"/>
    <mergeCell ref="C87:F87"/>
  </mergeCells>
  <phoneticPr fontId="22" type="noConversion"/>
  <printOptions horizontalCentered="1" verticalCentered="1"/>
  <pageMargins left="0.35629921259842523" right="0.35629921259842523" top="0.60629921259842523" bottom="0.60629921259842523" header="0.5" footer="0.5"/>
  <pageSetup paperSize="9" scale="36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69"/>
  <sheetViews>
    <sheetView topLeftCell="D1" workbookViewId="0">
      <selection activeCell="J23" sqref="J23"/>
    </sheetView>
  </sheetViews>
  <sheetFormatPr baseColWidth="10" defaultColWidth="10.7109375" defaultRowHeight="23" customHeight="1" x14ac:dyDescent="0.15"/>
  <cols>
    <col min="1" max="1" width="4.28515625" style="722" bestFit="1" customWidth="1"/>
    <col min="2" max="2" width="3.28515625" style="722" customWidth="1"/>
    <col min="3" max="3" width="13.5703125" style="722" customWidth="1"/>
    <col min="4" max="4" width="76.7109375" style="722" customWidth="1"/>
    <col min="5" max="16" width="18.28515625" style="722" customWidth="1"/>
    <col min="17" max="17" width="3.28515625" style="722" customWidth="1"/>
    <col min="18" max="16384" width="10.7109375" style="722"/>
  </cols>
  <sheetData>
    <row r="1" spans="1:32" ht="23" customHeight="1" x14ac:dyDescent="0.15">
      <c r="D1" s="723"/>
    </row>
    <row r="2" spans="1:32" ht="23" customHeight="1" x14ac:dyDescent="0.15">
      <c r="D2" s="311" t="str">
        <f>_GENERAL!D2</f>
        <v>Área de Presidencia, Hacienda y Modernización</v>
      </c>
    </row>
    <row r="3" spans="1:32" ht="23" customHeight="1" x14ac:dyDescent="0.15">
      <c r="D3" s="311" t="str">
        <f>_GENERAL!D3</f>
        <v>Dirección Insular de Hacienda</v>
      </c>
    </row>
    <row r="4" spans="1:32" ht="23" customHeight="1" thickBot="1" x14ac:dyDescent="0.2">
      <c r="A4" s="722" t="s">
        <v>935</v>
      </c>
    </row>
    <row r="5" spans="1:32" ht="9" customHeight="1" x14ac:dyDescent="0.15">
      <c r="B5" s="724"/>
      <c r="C5" s="725"/>
      <c r="D5" s="725"/>
      <c r="E5" s="725"/>
      <c r="F5" s="725"/>
      <c r="G5" s="725"/>
      <c r="H5" s="725"/>
      <c r="I5" s="725"/>
      <c r="J5" s="725"/>
      <c r="K5" s="725"/>
      <c r="L5" s="725"/>
      <c r="M5" s="725"/>
      <c r="N5" s="725"/>
      <c r="O5" s="725"/>
      <c r="P5" s="725"/>
      <c r="Q5" s="726"/>
      <c r="S5" s="406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8"/>
    </row>
    <row r="6" spans="1:32" ht="30" customHeight="1" x14ac:dyDescent="0.2">
      <c r="B6" s="727"/>
      <c r="C6" s="728" t="s">
        <v>0</v>
      </c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723"/>
      <c r="O6" s="723"/>
      <c r="P6" s="1368">
        <f>ejercicio</f>
        <v>2020</v>
      </c>
      <c r="Q6" s="729"/>
      <c r="S6" s="409"/>
      <c r="T6" s="410" t="s">
        <v>677</v>
      </c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2"/>
    </row>
    <row r="7" spans="1:32" ht="30" customHeight="1" x14ac:dyDescent="0.2">
      <c r="B7" s="727"/>
      <c r="C7" s="728" t="s">
        <v>1</v>
      </c>
      <c r="D7" s="723"/>
      <c r="E7" s="723"/>
      <c r="F7" s="723"/>
      <c r="G7" s="723"/>
      <c r="H7" s="723"/>
      <c r="I7" s="723"/>
      <c r="J7" s="723"/>
      <c r="K7" s="723"/>
      <c r="L7" s="723"/>
      <c r="M7" s="723"/>
      <c r="N7" s="723"/>
      <c r="O7" s="723"/>
      <c r="P7" s="1368"/>
      <c r="Q7" s="729"/>
      <c r="S7" s="409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411"/>
      <c r="AF7" s="412"/>
    </row>
    <row r="8" spans="1:32" ht="30" customHeight="1" x14ac:dyDescent="0.15">
      <c r="B8" s="727"/>
      <c r="C8" s="731"/>
      <c r="D8" s="723"/>
      <c r="E8" s="723"/>
      <c r="F8" s="723"/>
      <c r="G8" s="723"/>
      <c r="H8" s="723"/>
      <c r="I8" s="723"/>
      <c r="J8" s="723"/>
      <c r="K8" s="723"/>
      <c r="L8" s="723"/>
      <c r="M8" s="723"/>
      <c r="N8" s="723"/>
      <c r="O8" s="723"/>
      <c r="P8" s="732"/>
      <c r="Q8" s="729"/>
      <c r="S8" s="409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411"/>
      <c r="AF8" s="412"/>
    </row>
    <row r="9" spans="1:32" s="736" customFormat="1" ht="30" customHeight="1" x14ac:dyDescent="0.2">
      <c r="B9" s="733"/>
      <c r="C9" s="734" t="s">
        <v>2</v>
      </c>
      <c r="D9" s="1370" t="str">
        <f>Entidad</f>
        <v>TEA Tenerife Espacio de las Artes, Entidad Pública Empresarial Local</v>
      </c>
      <c r="E9" s="1370"/>
      <c r="F9" s="1370"/>
      <c r="G9" s="1370"/>
      <c r="H9" s="1370"/>
      <c r="I9" s="1370"/>
      <c r="J9" s="1370"/>
      <c r="K9" s="1370"/>
      <c r="L9" s="1370"/>
      <c r="M9" s="1370"/>
      <c r="N9" s="1370"/>
      <c r="O9" s="1370"/>
      <c r="P9" s="1370"/>
      <c r="Q9" s="735"/>
      <c r="S9" s="413"/>
      <c r="T9" s="414"/>
      <c r="U9" s="414"/>
      <c r="V9" s="414"/>
      <c r="W9" s="414"/>
      <c r="X9" s="414"/>
      <c r="Y9" s="414"/>
      <c r="Z9" s="414"/>
      <c r="AA9" s="414"/>
      <c r="AB9" s="414"/>
      <c r="AC9" s="414"/>
      <c r="AD9" s="414"/>
      <c r="AE9" s="414"/>
      <c r="AF9" s="415"/>
    </row>
    <row r="10" spans="1:32" ht="7.25" customHeight="1" x14ac:dyDescent="0.15">
      <c r="B10" s="727"/>
      <c r="C10" s="723"/>
      <c r="D10" s="723"/>
      <c r="E10" s="723"/>
      <c r="F10" s="723"/>
      <c r="G10" s="723"/>
      <c r="H10" s="723"/>
      <c r="I10" s="723"/>
      <c r="J10" s="723"/>
      <c r="K10" s="723"/>
      <c r="L10" s="723"/>
      <c r="M10" s="723"/>
      <c r="N10" s="723"/>
      <c r="O10" s="723"/>
      <c r="P10" s="723"/>
      <c r="Q10" s="729"/>
      <c r="S10" s="409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2"/>
    </row>
    <row r="11" spans="1:32" s="740" customFormat="1" ht="30" customHeight="1" x14ac:dyDescent="0.2">
      <c r="B11" s="737"/>
      <c r="C11" s="738" t="s">
        <v>957</v>
      </c>
      <c r="D11" s="738"/>
      <c r="E11" s="738"/>
      <c r="F11" s="738"/>
      <c r="G11" s="738"/>
      <c r="H11" s="738"/>
      <c r="I11" s="738"/>
      <c r="J11" s="738"/>
      <c r="K11" s="738"/>
      <c r="L11" s="738"/>
      <c r="M11" s="738"/>
      <c r="N11" s="738"/>
      <c r="O11" s="738"/>
      <c r="P11" s="738"/>
      <c r="Q11" s="739"/>
      <c r="S11" s="416"/>
      <c r="T11" s="417"/>
      <c r="U11" s="417"/>
      <c r="V11" s="417"/>
      <c r="W11" s="417"/>
      <c r="X11" s="417"/>
      <c r="Y11" s="417"/>
      <c r="Z11" s="417"/>
      <c r="AA11" s="417"/>
      <c r="AB11" s="417"/>
      <c r="AC11" s="417"/>
      <c r="AD11" s="417"/>
      <c r="AE11" s="417"/>
      <c r="AF11" s="418"/>
    </row>
    <row r="12" spans="1:32" s="740" customFormat="1" ht="30" customHeight="1" x14ac:dyDescent="0.2">
      <c r="B12" s="737"/>
      <c r="C12" s="992"/>
      <c r="D12" s="992"/>
      <c r="E12" s="992"/>
      <c r="F12" s="992"/>
      <c r="G12" s="992"/>
      <c r="H12" s="992"/>
      <c r="I12" s="992"/>
      <c r="J12" s="992"/>
      <c r="K12" s="992"/>
      <c r="L12" s="992"/>
      <c r="M12" s="992"/>
      <c r="N12" s="992"/>
      <c r="O12" s="992"/>
      <c r="P12" s="992"/>
      <c r="Q12" s="739"/>
      <c r="S12" s="416"/>
      <c r="T12" s="417"/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8"/>
    </row>
    <row r="13" spans="1:32" ht="23" customHeight="1" x14ac:dyDescent="0.2">
      <c r="B13" s="727"/>
      <c r="C13" s="1422">
        <f>ejercicio-1</f>
        <v>2019</v>
      </c>
      <c r="D13" s="1424" t="s">
        <v>965</v>
      </c>
      <c r="E13" s="1194" t="s">
        <v>667</v>
      </c>
      <c r="F13" s="1194" t="s">
        <v>958</v>
      </c>
      <c r="G13" s="1194" t="s">
        <v>959</v>
      </c>
      <c r="H13" s="1194" t="s">
        <v>958</v>
      </c>
      <c r="I13" s="1195" t="s">
        <v>962</v>
      </c>
      <c r="J13" s="1195" t="s">
        <v>963</v>
      </c>
      <c r="K13" s="1195" t="s">
        <v>985</v>
      </c>
      <c r="L13" s="1194" t="s">
        <v>964</v>
      </c>
      <c r="M13" s="1401"/>
      <c r="N13" s="1402"/>
      <c r="O13" s="1402"/>
      <c r="P13" s="1403"/>
      <c r="Q13" s="729"/>
      <c r="S13" s="409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11"/>
      <c r="AF13" s="412"/>
    </row>
    <row r="14" spans="1:32" ht="23" customHeight="1" x14ac:dyDescent="0.2">
      <c r="B14" s="727"/>
      <c r="C14" s="1423"/>
      <c r="D14" s="1425"/>
      <c r="E14" s="1196">
        <f>ejercicio-2</f>
        <v>2018</v>
      </c>
      <c r="F14" s="1197" t="s">
        <v>251</v>
      </c>
      <c r="G14" s="1197" t="s">
        <v>251</v>
      </c>
      <c r="H14" s="1197" t="s">
        <v>961</v>
      </c>
      <c r="I14" s="1198" t="s">
        <v>960</v>
      </c>
      <c r="J14" s="1199" t="s">
        <v>967</v>
      </c>
      <c r="K14" s="1198" t="s">
        <v>986</v>
      </c>
      <c r="L14" s="1196">
        <f>ejercicio-1</f>
        <v>2019</v>
      </c>
      <c r="M14" s="1398" t="s">
        <v>987</v>
      </c>
      <c r="N14" s="1399"/>
      <c r="O14" s="1399"/>
      <c r="P14" s="1400"/>
      <c r="Q14" s="729"/>
      <c r="S14" s="409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411"/>
      <c r="AF14" s="412"/>
    </row>
    <row r="15" spans="1:32" ht="23" customHeight="1" x14ac:dyDescent="0.2">
      <c r="B15" s="727"/>
      <c r="C15" s="1200"/>
      <c r="D15" s="1201"/>
      <c r="E15" s="1202"/>
      <c r="F15" s="1202"/>
      <c r="G15" s="1202"/>
      <c r="H15" s="1202"/>
      <c r="I15" s="1202"/>
      <c r="J15" s="1202"/>
      <c r="K15" s="1202"/>
      <c r="L15" s="1202"/>
      <c r="M15" s="1404"/>
      <c r="N15" s="1405"/>
      <c r="O15" s="1405"/>
      <c r="P15" s="1406"/>
      <c r="Q15" s="729"/>
      <c r="S15" s="409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2"/>
    </row>
    <row r="16" spans="1:32" s="1203" customFormat="1" ht="27" customHeight="1" x14ac:dyDescent="0.2">
      <c r="B16" s="737"/>
      <c r="C16" s="1204" t="s">
        <v>129</v>
      </c>
      <c r="D16" s="1205" t="s">
        <v>250</v>
      </c>
      <c r="E16" s="1206">
        <f t="shared" ref="E16:L16" si="0">+E17+E20+E21+E26+E27+E30+E31+E32+E33</f>
        <v>-93981.830000000307</v>
      </c>
      <c r="F16" s="1206">
        <f t="shared" si="0"/>
        <v>0</v>
      </c>
      <c r="G16" s="1206">
        <f t="shared" si="0"/>
        <v>0</v>
      </c>
      <c r="H16" s="1206">
        <f t="shared" si="0"/>
        <v>1398851.1500000004</v>
      </c>
      <c r="I16" s="1206">
        <f t="shared" si="0"/>
        <v>0</v>
      </c>
      <c r="J16" s="1206">
        <f t="shared" si="0"/>
        <v>43738.71</v>
      </c>
      <c r="K16" s="1206">
        <f t="shared" si="0"/>
        <v>-1399071.93</v>
      </c>
      <c r="L16" s="1206">
        <f t="shared" si="0"/>
        <v>-50463.900000000605</v>
      </c>
      <c r="M16" s="1407"/>
      <c r="N16" s="1408"/>
      <c r="O16" s="1408"/>
      <c r="P16" s="1409"/>
      <c r="Q16" s="739"/>
      <c r="S16" s="1191"/>
      <c r="T16" s="1192"/>
      <c r="U16" s="1192"/>
      <c r="V16" s="1192"/>
      <c r="W16" s="1192"/>
      <c r="X16" s="1192"/>
      <c r="Y16" s="1192"/>
      <c r="Z16" s="1192"/>
      <c r="AA16" s="1192"/>
      <c r="AB16" s="1192"/>
      <c r="AC16" s="1192"/>
      <c r="AD16" s="1192"/>
      <c r="AE16" s="1192"/>
      <c r="AF16" s="1193"/>
    </row>
    <row r="17" spans="2:32" ht="27" customHeight="1" x14ac:dyDescent="0.2">
      <c r="B17" s="727"/>
      <c r="C17" s="1207" t="s">
        <v>182</v>
      </c>
      <c r="D17" s="1208" t="s">
        <v>251</v>
      </c>
      <c r="E17" s="1209">
        <f t="shared" ref="E17:L17" si="1">SUM(E18:E19)</f>
        <v>0</v>
      </c>
      <c r="F17" s="1209">
        <f t="shared" si="1"/>
        <v>0</v>
      </c>
      <c r="G17" s="1209">
        <f t="shared" si="1"/>
        <v>0</v>
      </c>
      <c r="H17" s="1209">
        <f t="shared" si="1"/>
        <v>0</v>
      </c>
      <c r="I17" s="1209">
        <f t="shared" si="1"/>
        <v>0</v>
      </c>
      <c r="J17" s="1209">
        <f t="shared" si="1"/>
        <v>0</v>
      </c>
      <c r="K17" s="1209">
        <f t="shared" si="1"/>
        <v>0</v>
      </c>
      <c r="L17" s="1209">
        <f t="shared" si="1"/>
        <v>0</v>
      </c>
      <c r="M17" s="1410"/>
      <c r="N17" s="1411"/>
      <c r="O17" s="1411"/>
      <c r="P17" s="1412"/>
      <c r="Q17" s="729"/>
      <c r="S17" s="409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411"/>
      <c r="AF17" s="412"/>
    </row>
    <row r="18" spans="2:32" ht="27" customHeight="1" x14ac:dyDescent="0.2">
      <c r="B18" s="727"/>
      <c r="C18" s="1210" t="s">
        <v>81</v>
      </c>
      <c r="D18" s="1211" t="s">
        <v>252</v>
      </c>
      <c r="E18" s="1212">
        <f>'FC-4_PASIVO'!E19</f>
        <v>0</v>
      </c>
      <c r="F18" s="450"/>
      <c r="G18" s="450"/>
      <c r="H18" s="450"/>
      <c r="I18" s="450"/>
      <c r="J18" s="450"/>
      <c r="K18" s="450"/>
      <c r="L18" s="1212">
        <f>SUM(E18:K18)</f>
        <v>0</v>
      </c>
      <c r="M18" s="1413"/>
      <c r="N18" s="1414"/>
      <c r="O18" s="1414"/>
      <c r="P18" s="1415"/>
      <c r="Q18" s="729"/>
      <c r="S18" s="409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411"/>
      <c r="AF18" s="412"/>
    </row>
    <row r="19" spans="2:32" ht="27" customHeight="1" x14ac:dyDescent="0.2">
      <c r="B19" s="727"/>
      <c r="C19" s="1213" t="s">
        <v>88</v>
      </c>
      <c r="D19" s="1214" t="s">
        <v>253</v>
      </c>
      <c r="E19" s="1215">
        <f>'FC-4_PASIVO'!E20</f>
        <v>0</v>
      </c>
      <c r="F19" s="451"/>
      <c r="G19" s="451"/>
      <c r="H19" s="451"/>
      <c r="I19" s="451"/>
      <c r="J19" s="451"/>
      <c r="K19" s="451"/>
      <c r="L19" s="1215">
        <f>SUM(E19:K19)</f>
        <v>0</v>
      </c>
      <c r="M19" s="1416"/>
      <c r="N19" s="1417"/>
      <c r="O19" s="1417"/>
      <c r="P19" s="1418"/>
      <c r="Q19" s="729"/>
      <c r="S19" s="409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2"/>
    </row>
    <row r="20" spans="2:32" ht="27" customHeight="1" x14ac:dyDescent="0.2">
      <c r="B20" s="727"/>
      <c r="C20" s="1207" t="s">
        <v>192</v>
      </c>
      <c r="D20" s="1208" t="s">
        <v>254</v>
      </c>
      <c r="E20" s="1209">
        <f>'FC-4_PASIVO'!E21</f>
        <v>0</v>
      </c>
      <c r="F20" s="452"/>
      <c r="G20" s="452"/>
      <c r="H20" s="452"/>
      <c r="I20" s="452"/>
      <c r="J20" s="452"/>
      <c r="K20" s="452"/>
      <c r="L20" s="1209">
        <f>SUM(E20:K20)</f>
        <v>0</v>
      </c>
      <c r="M20" s="1419"/>
      <c r="N20" s="1420"/>
      <c r="O20" s="1420"/>
      <c r="P20" s="1421"/>
      <c r="Q20" s="729"/>
      <c r="S20" s="409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2"/>
    </row>
    <row r="21" spans="2:32" ht="27" customHeight="1" x14ac:dyDescent="0.2">
      <c r="B21" s="727"/>
      <c r="C21" s="1207" t="s">
        <v>197</v>
      </c>
      <c r="D21" s="1208" t="s">
        <v>255</v>
      </c>
      <c r="E21" s="1209">
        <f t="shared" ref="E21:L21" si="2">SUM(E22:E25)</f>
        <v>-86923.67</v>
      </c>
      <c r="F21" s="1209">
        <f t="shared" si="2"/>
        <v>0</v>
      </c>
      <c r="G21" s="1209">
        <f t="shared" si="2"/>
        <v>0</v>
      </c>
      <c r="H21" s="1209">
        <f t="shared" si="2"/>
        <v>0</v>
      </c>
      <c r="I21" s="1209">
        <f t="shared" si="2"/>
        <v>0</v>
      </c>
      <c r="J21" s="1209">
        <f t="shared" si="2"/>
        <v>43738.71</v>
      </c>
      <c r="K21" s="1209">
        <f t="shared" si="2"/>
        <v>0</v>
      </c>
      <c r="L21" s="1209">
        <f t="shared" si="2"/>
        <v>-43184.959999999999</v>
      </c>
      <c r="M21" s="1410"/>
      <c r="N21" s="1411"/>
      <c r="O21" s="1411"/>
      <c r="P21" s="1412"/>
      <c r="Q21" s="729"/>
      <c r="S21" s="409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2"/>
    </row>
    <row r="22" spans="2:32" ht="27" customHeight="1" x14ac:dyDescent="0.2">
      <c r="B22" s="727"/>
      <c r="C22" s="1210" t="s">
        <v>81</v>
      </c>
      <c r="D22" s="1211" t="s">
        <v>256</v>
      </c>
      <c r="E22" s="1212">
        <f>'FC-4_PASIVO'!E23</f>
        <v>0</v>
      </c>
      <c r="F22" s="450"/>
      <c r="G22" s="450"/>
      <c r="H22" s="450"/>
      <c r="I22" s="450"/>
      <c r="J22" s="450"/>
      <c r="K22" s="450"/>
      <c r="L22" s="1212">
        <f>SUM(E22:K22)</f>
        <v>0</v>
      </c>
      <c r="M22" s="1413"/>
      <c r="N22" s="1414"/>
      <c r="O22" s="1414"/>
      <c r="P22" s="1415"/>
      <c r="Q22" s="729"/>
      <c r="S22" s="409"/>
      <c r="T22" s="411"/>
      <c r="U22" s="411"/>
      <c r="V22" s="411"/>
      <c r="W22" s="411"/>
      <c r="X22" s="411"/>
      <c r="Y22" s="411"/>
      <c r="Z22" s="411"/>
      <c r="AA22" s="411"/>
      <c r="AB22" s="411"/>
      <c r="AC22" s="411"/>
      <c r="AD22" s="411"/>
      <c r="AE22" s="411"/>
      <c r="AF22" s="412"/>
    </row>
    <row r="23" spans="2:32" ht="27" customHeight="1" x14ac:dyDescent="0.2">
      <c r="B23" s="727"/>
      <c r="C23" s="1213" t="s">
        <v>88</v>
      </c>
      <c r="D23" s="1214" t="s">
        <v>257</v>
      </c>
      <c r="E23" s="1215">
        <f>'FC-4_PASIVO'!E24</f>
        <v>-86923.67</v>
      </c>
      <c r="F23" s="451"/>
      <c r="G23" s="451"/>
      <c r="H23" s="451"/>
      <c r="I23" s="451"/>
      <c r="J23" s="451">
        <v>43738.71</v>
      </c>
      <c r="K23" s="451"/>
      <c r="L23" s="1215">
        <f>SUM(E23:K23)</f>
        <v>-43184.959999999999</v>
      </c>
      <c r="M23" s="1416"/>
      <c r="N23" s="1417"/>
      <c r="O23" s="1417"/>
      <c r="P23" s="1418"/>
      <c r="Q23" s="729"/>
      <c r="S23" s="409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2"/>
    </row>
    <row r="24" spans="2:32" ht="27" customHeight="1" x14ac:dyDescent="0.2">
      <c r="B24" s="727"/>
      <c r="C24" s="1213" t="s">
        <v>90</v>
      </c>
      <c r="D24" s="1214" t="s">
        <v>258</v>
      </c>
      <c r="E24" s="1215">
        <f>'FC-4_PASIVO'!E25</f>
        <v>0</v>
      </c>
      <c r="F24" s="451"/>
      <c r="G24" s="451"/>
      <c r="H24" s="451"/>
      <c r="I24" s="451"/>
      <c r="J24" s="451"/>
      <c r="K24" s="451"/>
      <c r="L24" s="1215">
        <f>SUM(E24:K24)</f>
        <v>0</v>
      </c>
      <c r="M24" s="1416"/>
      <c r="N24" s="1417"/>
      <c r="O24" s="1417"/>
      <c r="P24" s="1418"/>
      <c r="Q24" s="729"/>
      <c r="S24" s="409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2"/>
    </row>
    <row r="25" spans="2:32" ht="27" customHeight="1" x14ac:dyDescent="0.2">
      <c r="B25" s="727"/>
      <c r="C25" s="1213" t="s">
        <v>92</v>
      </c>
      <c r="D25" s="1214" t="s">
        <v>313</v>
      </c>
      <c r="E25" s="1215">
        <f>'FC-4_PASIVO'!E26</f>
        <v>0</v>
      </c>
      <c r="F25" s="451"/>
      <c r="G25" s="451"/>
      <c r="H25" s="451"/>
      <c r="I25" s="451"/>
      <c r="J25" s="451"/>
      <c r="K25" s="451"/>
      <c r="L25" s="1215">
        <f>SUM(E25:K25)</f>
        <v>0</v>
      </c>
      <c r="M25" s="1416"/>
      <c r="N25" s="1417"/>
      <c r="O25" s="1417"/>
      <c r="P25" s="1418"/>
      <c r="Q25" s="729"/>
      <c r="S25" s="409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2"/>
    </row>
    <row r="26" spans="2:32" ht="27" customHeight="1" x14ac:dyDescent="0.2">
      <c r="B26" s="727"/>
      <c r="C26" s="1207" t="s">
        <v>201</v>
      </c>
      <c r="D26" s="1208" t="s">
        <v>259</v>
      </c>
      <c r="E26" s="1209">
        <f>'FC-4_PASIVO'!E27</f>
        <v>0</v>
      </c>
      <c r="F26" s="452"/>
      <c r="G26" s="452"/>
      <c r="H26" s="452"/>
      <c r="I26" s="452"/>
      <c r="J26" s="452"/>
      <c r="K26" s="452"/>
      <c r="L26" s="1209">
        <f>SUM(E26:K26)</f>
        <v>0</v>
      </c>
      <c r="M26" s="1419"/>
      <c r="N26" s="1420"/>
      <c r="O26" s="1420"/>
      <c r="P26" s="1421"/>
      <c r="Q26" s="729"/>
      <c r="S26" s="409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2"/>
    </row>
    <row r="27" spans="2:32" ht="27" customHeight="1" x14ac:dyDescent="0.2">
      <c r="B27" s="727"/>
      <c r="C27" s="1207" t="s">
        <v>209</v>
      </c>
      <c r="D27" s="1208" t="s">
        <v>260</v>
      </c>
      <c r="E27" s="1209">
        <f t="shared" ref="E27:L27" si="3">SUM(E28:E29)</f>
        <v>-11710879.210000001</v>
      </c>
      <c r="F27" s="1209">
        <f t="shared" si="3"/>
        <v>0</v>
      </c>
      <c r="G27" s="1209">
        <f t="shared" si="3"/>
        <v>0</v>
      </c>
      <c r="H27" s="1209">
        <f t="shared" si="3"/>
        <v>0</v>
      </c>
      <c r="I27" s="1209">
        <f t="shared" si="3"/>
        <v>-1388176.93</v>
      </c>
      <c r="J27" s="1209">
        <f t="shared" si="3"/>
        <v>0</v>
      </c>
      <c r="K27" s="1209">
        <f t="shared" si="3"/>
        <v>0</v>
      </c>
      <c r="L27" s="1209">
        <f t="shared" si="3"/>
        <v>-13099056.140000001</v>
      </c>
      <c r="M27" s="1410"/>
      <c r="N27" s="1411"/>
      <c r="O27" s="1411"/>
      <c r="P27" s="1412"/>
      <c r="Q27" s="729"/>
      <c r="S27" s="409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2"/>
    </row>
    <row r="28" spans="2:32" ht="27" customHeight="1" x14ac:dyDescent="0.2">
      <c r="B28" s="727"/>
      <c r="C28" s="1210" t="s">
        <v>81</v>
      </c>
      <c r="D28" s="1211" t="s">
        <v>261</v>
      </c>
      <c r="E28" s="1212">
        <f>'FC-4_PASIVO'!E29</f>
        <v>1458.19</v>
      </c>
      <c r="F28" s="450"/>
      <c r="G28" s="450"/>
      <c r="H28" s="450"/>
      <c r="I28" s="450"/>
      <c r="J28" s="450"/>
      <c r="K28" s="450"/>
      <c r="L28" s="1212">
        <f t="shared" ref="L28:L33" si="4">SUM(E28:K28)</f>
        <v>1458.19</v>
      </c>
      <c r="M28" s="1413"/>
      <c r="N28" s="1414"/>
      <c r="O28" s="1414"/>
      <c r="P28" s="1415"/>
      <c r="Q28" s="729"/>
      <c r="S28" s="409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2"/>
    </row>
    <row r="29" spans="2:32" ht="27" customHeight="1" x14ac:dyDescent="0.2">
      <c r="B29" s="727"/>
      <c r="C29" s="1213" t="s">
        <v>88</v>
      </c>
      <c r="D29" s="1214" t="s">
        <v>262</v>
      </c>
      <c r="E29" s="1215">
        <f>'FC-4_PASIVO'!E30</f>
        <v>-11712337.4</v>
      </c>
      <c r="F29" s="451"/>
      <c r="G29" s="451"/>
      <c r="H29" s="451"/>
      <c r="I29" s="451">
        <v>-1388176.93</v>
      </c>
      <c r="J29" s="451"/>
      <c r="K29" s="451"/>
      <c r="L29" s="1215">
        <f t="shared" si="4"/>
        <v>-13100514.33</v>
      </c>
      <c r="M29" s="1416"/>
      <c r="N29" s="1417"/>
      <c r="O29" s="1417"/>
      <c r="P29" s="1418"/>
      <c r="Q29" s="729"/>
      <c r="S29" s="419"/>
      <c r="T29" s="420"/>
      <c r="U29" s="420"/>
      <c r="V29" s="420"/>
      <c r="W29" s="420"/>
      <c r="X29" s="420"/>
      <c r="Y29" s="420"/>
      <c r="Z29" s="420"/>
      <c r="AA29" s="420"/>
      <c r="AB29" s="420"/>
      <c r="AC29" s="420"/>
      <c r="AD29" s="420"/>
      <c r="AE29" s="420"/>
      <c r="AF29" s="421"/>
    </row>
    <row r="30" spans="2:32" ht="27" customHeight="1" x14ac:dyDescent="0.2">
      <c r="B30" s="727"/>
      <c r="C30" s="1207" t="s">
        <v>212</v>
      </c>
      <c r="D30" s="1208" t="s">
        <v>263</v>
      </c>
      <c r="E30" s="1209">
        <f>'FC-4_PASIVO'!E31</f>
        <v>13091997.98</v>
      </c>
      <c r="F30" s="452"/>
      <c r="G30" s="452"/>
      <c r="H30" s="452">
        <f>14490849.13-13091997.98</f>
        <v>1398851.1500000004</v>
      </c>
      <c r="I30" s="452"/>
      <c r="J30" s="452"/>
      <c r="K30" s="452"/>
      <c r="L30" s="1209">
        <f t="shared" si="4"/>
        <v>14490849.130000001</v>
      </c>
      <c r="M30" s="1419"/>
      <c r="N30" s="1420"/>
      <c r="O30" s="1420"/>
      <c r="P30" s="1421"/>
      <c r="Q30" s="729"/>
      <c r="S30" s="419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1"/>
    </row>
    <row r="31" spans="2:32" ht="27" customHeight="1" x14ac:dyDescent="0.2">
      <c r="B31" s="727"/>
      <c r="C31" s="1207" t="s">
        <v>214</v>
      </c>
      <c r="D31" s="1208" t="s">
        <v>264</v>
      </c>
      <c r="E31" s="1209">
        <f>'FC-4_PASIVO'!E32</f>
        <v>-1388176.93</v>
      </c>
      <c r="F31" s="452"/>
      <c r="G31" s="452"/>
      <c r="H31" s="452"/>
      <c r="I31" s="452">
        <v>1388176.93</v>
      </c>
      <c r="J31" s="452"/>
      <c r="K31" s="452">
        <v>-1399071.93</v>
      </c>
      <c r="L31" s="1209">
        <f t="shared" si="4"/>
        <v>-1399071.93</v>
      </c>
      <c r="M31" s="1410"/>
      <c r="N31" s="1411"/>
      <c r="O31" s="1411"/>
      <c r="P31" s="1412"/>
      <c r="Q31" s="729"/>
      <c r="S31" s="409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2"/>
    </row>
    <row r="32" spans="2:32" ht="27" customHeight="1" x14ac:dyDescent="0.2">
      <c r="B32" s="727"/>
      <c r="C32" s="1207" t="s">
        <v>265</v>
      </c>
      <c r="D32" s="1208" t="s">
        <v>266</v>
      </c>
      <c r="E32" s="1209">
        <f>'FC-4_PASIVO'!E33</f>
        <v>0</v>
      </c>
      <c r="F32" s="452"/>
      <c r="G32" s="452"/>
      <c r="H32" s="452"/>
      <c r="I32" s="452"/>
      <c r="J32" s="452"/>
      <c r="K32" s="452"/>
      <c r="L32" s="1209">
        <f t="shared" si="4"/>
        <v>0</v>
      </c>
      <c r="M32" s="1410"/>
      <c r="N32" s="1411"/>
      <c r="O32" s="1411"/>
      <c r="P32" s="1412"/>
      <c r="Q32" s="729"/>
      <c r="S32" s="409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2"/>
    </row>
    <row r="33" spans="2:32" ht="27" customHeight="1" x14ac:dyDescent="0.2">
      <c r="B33" s="727"/>
      <c r="C33" s="1207" t="s">
        <v>267</v>
      </c>
      <c r="D33" s="1208" t="s">
        <v>268</v>
      </c>
      <c r="E33" s="1209">
        <f>'FC-4_PASIVO'!E34</f>
        <v>0</v>
      </c>
      <c r="F33" s="452"/>
      <c r="G33" s="452"/>
      <c r="H33" s="452"/>
      <c r="I33" s="452"/>
      <c r="J33" s="452"/>
      <c r="K33" s="452"/>
      <c r="L33" s="1209">
        <f t="shared" si="4"/>
        <v>0</v>
      </c>
      <c r="M33" s="1410"/>
      <c r="N33" s="1411"/>
      <c r="O33" s="1411"/>
      <c r="P33" s="1412"/>
      <c r="Q33" s="729"/>
      <c r="S33" s="409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2"/>
    </row>
    <row r="34" spans="2:32" ht="27" customHeight="1" x14ac:dyDescent="0.2">
      <c r="B34" s="727"/>
      <c r="C34" s="1216"/>
      <c r="D34" s="728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8"/>
      <c r="Q34" s="729"/>
      <c r="S34" s="409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2"/>
    </row>
    <row r="35" spans="2:32" ht="27" customHeight="1" x14ac:dyDescent="0.2">
      <c r="B35" s="727"/>
      <c r="C35" s="1422">
        <f>ejercicio</f>
        <v>2020</v>
      </c>
      <c r="D35" s="1424" t="s">
        <v>965</v>
      </c>
      <c r="E35" s="1194" t="str">
        <f>+L13</f>
        <v>Saldo final 31-12</v>
      </c>
      <c r="F35" s="1194" t="s">
        <v>958</v>
      </c>
      <c r="G35" s="1194" t="s">
        <v>959</v>
      </c>
      <c r="H35" s="1194" t="s">
        <v>958</v>
      </c>
      <c r="I35" s="1195" t="s">
        <v>962</v>
      </c>
      <c r="J35" s="1195" t="s">
        <v>963</v>
      </c>
      <c r="K35" s="1239" t="s">
        <v>985</v>
      </c>
      <c r="L35" s="1194" t="s">
        <v>964</v>
      </c>
      <c r="M35" s="1401"/>
      <c r="N35" s="1402"/>
      <c r="O35" s="1402"/>
      <c r="P35" s="1403"/>
      <c r="Q35" s="729"/>
      <c r="S35" s="409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2"/>
    </row>
    <row r="36" spans="2:32" ht="27" customHeight="1" x14ac:dyDescent="0.2">
      <c r="B36" s="727"/>
      <c r="C36" s="1423"/>
      <c r="D36" s="1425"/>
      <c r="E36" s="1196">
        <f>+L14</f>
        <v>2019</v>
      </c>
      <c r="F36" s="1197" t="s">
        <v>251</v>
      </c>
      <c r="G36" s="1197" t="s">
        <v>251</v>
      </c>
      <c r="H36" s="1197" t="s">
        <v>961</v>
      </c>
      <c r="I36" s="1198" t="s">
        <v>960</v>
      </c>
      <c r="J36" s="1199" t="s">
        <v>967</v>
      </c>
      <c r="K36" s="1198" t="s">
        <v>986</v>
      </c>
      <c r="L36" s="1196">
        <f>ejercicio</f>
        <v>2020</v>
      </c>
      <c r="M36" s="1398" t="s">
        <v>987</v>
      </c>
      <c r="N36" s="1399"/>
      <c r="O36" s="1399"/>
      <c r="P36" s="1400"/>
      <c r="Q36" s="729"/>
      <c r="S36" s="409"/>
      <c r="T36" s="411"/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2"/>
    </row>
    <row r="37" spans="2:32" ht="27" customHeight="1" x14ac:dyDescent="0.2">
      <c r="B37" s="727"/>
      <c r="C37" s="1200"/>
      <c r="D37" s="1201"/>
      <c r="E37" s="1202"/>
      <c r="F37" s="1202"/>
      <c r="G37" s="1202"/>
      <c r="H37" s="1202"/>
      <c r="I37" s="1202"/>
      <c r="J37" s="1202"/>
      <c r="K37" s="1202"/>
      <c r="L37" s="1202"/>
      <c r="M37" s="1404"/>
      <c r="N37" s="1405"/>
      <c r="O37" s="1405"/>
      <c r="P37" s="1406"/>
      <c r="Q37" s="729"/>
      <c r="S37" s="409"/>
      <c r="T37" s="411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2"/>
    </row>
    <row r="38" spans="2:32" ht="27" customHeight="1" x14ac:dyDescent="0.2">
      <c r="B38" s="727"/>
      <c r="C38" s="1204" t="s">
        <v>129</v>
      </c>
      <c r="D38" s="1205" t="s">
        <v>250</v>
      </c>
      <c r="E38" s="1206">
        <f t="shared" ref="E38:L38" si="5">+E39+E42+E43+E48+E49+E52+E53+E54+E55</f>
        <v>-50463.900000000605</v>
      </c>
      <c r="F38" s="1206">
        <f t="shared" si="5"/>
        <v>0</v>
      </c>
      <c r="G38" s="1206">
        <f t="shared" si="5"/>
        <v>0</v>
      </c>
      <c r="H38" s="1206">
        <f t="shared" si="5"/>
        <v>1433160.4299999997</v>
      </c>
      <c r="I38" s="1206">
        <f t="shared" si="5"/>
        <v>0</v>
      </c>
      <c r="J38" s="1206">
        <f t="shared" si="5"/>
        <v>0</v>
      </c>
      <c r="K38" s="1206">
        <f t="shared" si="5"/>
        <v>-1433160.43</v>
      </c>
      <c r="L38" s="1206">
        <f t="shared" si="5"/>
        <v>-50463.900000000605</v>
      </c>
      <c r="M38" s="1407"/>
      <c r="N38" s="1408"/>
      <c r="O38" s="1408"/>
      <c r="P38" s="1409"/>
      <c r="Q38" s="729"/>
      <c r="S38" s="409"/>
      <c r="T38" s="411"/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2"/>
    </row>
    <row r="39" spans="2:32" ht="27" customHeight="1" x14ac:dyDescent="0.2">
      <c r="B39" s="727"/>
      <c r="C39" s="1207" t="s">
        <v>182</v>
      </c>
      <c r="D39" s="1208" t="s">
        <v>251</v>
      </c>
      <c r="E39" s="1209">
        <f t="shared" ref="E39:L39" si="6">SUM(E40:E41)</f>
        <v>0</v>
      </c>
      <c r="F39" s="1209">
        <f t="shared" si="6"/>
        <v>0</v>
      </c>
      <c r="G39" s="1209">
        <f t="shared" si="6"/>
        <v>0</v>
      </c>
      <c r="H39" s="1209">
        <f t="shared" si="6"/>
        <v>0</v>
      </c>
      <c r="I39" s="1209">
        <f t="shared" si="6"/>
        <v>0</v>
      </c>
      <c r="J39" s="1209">
        <f t="shared" si="6"/>
        <v>0</v>
      </c>
      <c r="K39" s="1209">
        <f t="shared" si="6"/>
        <v>0</v>
      </c>
      <c r="L39" s="1209">
        <f t="shared" si="6"/>
        <v>0</v>
      </c>
      <c r="M39" s="1410"/>
      <c r="N39" s="1411"/>
      <c r="O39" s="1411"/>
      <c r="P39" s="1412"/>
      <c r="Q39" s="729"/>
      <c r="S39" s="409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2"/>
    </row>
    <row r="40" spans="2:32" ht="27" customHeight="1" x14ac:dyDescent="0.2">
      <c r="B40" s="727"/>
      <c r="C40" s="1210" t="s">
        <v>81</v>
      </c>
      <c r="D40" s="1211" t="s">
        <v>252</v>
      </c>
      <c r="E40" s="1212">
        <f>+L18</f>
        <v>0</v>
      </c>
      <c r="F40" s="450"/>
      <c r="G40" s="450"/>
      <c r="H40" s="450"/>
      <c r="I40" s="450"/>
      <c r="J40" s="450"/>
      <c r="K40" s="450"/>
      <c r="L40" s="1212">
        <f>SUM(E40:K40)</f>
        <v>0</v>
      </c>
      <c r="M40" s="1413"/>
      <c r="N40" s="1414"/>
      <c r="O40" s="1414"/>
      <c r="P40" s="1415"/>
      <c r="Q40" s="729"/>
      <c r="S40" s="409"/>
      <c r="T40" s="411"/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2"/>
    </row>
    <row r="41" spans="2:32" ht="27" customHeight="1" x14ac:dyDescent="0.2">
      <c r="B41" s="727"/>
      <c r="C41" s="1213" t="s">
        <v>88</v>
      </c>
      <c r="D41" s="1214" t="s">
        <v>253</v>
      </c>
      <c r="E41" s="1215">
        <f>+L19</f>
        <v>0</v>
      </c>
      <c r="F41" s="451"/>
      <c r="G41" s="451"/>
      <c r="H41" s="451"/>
      <c r="I41" s="451"/>
      <c r="J41" s="451"/>
      <c r="K41" s="451"/>
      <c r="L41" s="1215">
        <f>SUM(E41:K41)</f>
        <v>0</v>
      </c>
      <c r="M41" s="1416"/>
      <c r="N41" s="1417"/>
      <c r="O41" s="1417"/>
      <c r="P41" s="1418"/>
      <c r="Q41" s="729"/>
      <c r="S41" s="409"/>
      <c r="T41" s="411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2"/>
    </row>
    <row r="42" spans="2:32" ht="27" customHeight="1" x14ac:dyDescent="0.2">
      <c r="B42" s="727"/>
      <c r="C42" s="1207" t="s">
        <v>192</v>
      </c>
      <c r="D42" s="1208" t="s">
        <v>254</v>
      </c>
      <c r="E42" s="1209">
        <f>+L20</f>
        <v>0</v>
      </c>
      <c r="F42" s="452"/>
      <c r="G42" s="452"/>
      <c r="H42" s="452"/>
      <c r="I42" s="452"/>
      <c r="J42" s="452"/>
      <c r="K42" s="452"/>
      <c r="L42" s="1209">
        <f>SUM(E42:K42)</f>
        <v>0</v>
      </c>
      <c r="M42" s="1419"/>
      <c r="N42" s="1420"/>
      <c r="O42" s="1420"/>
      <c r="P42" s="1421"/>
      <c r="Q42" s="729"/>
      <c r="S42" s="409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2"/>
    </row>
    <row r="43" spans="2:32" ht="27" customHeight="1" x14ac:dyDescent="0.2">
      <c r="B43" s="727"/>
      <c r="C43" s="1207" t="s">
        <v>197</v>
      </c>
      <c r="D43" s="1208" t="s">
        <v>255</v>
      </c>
      <c r="E43" s="1209">
        <f t="shared" ref="E43:L43" si="7">SUM(E44:E47)</f>
        <v>-43184.959999999999</v>
      </c>
      <c r="F43" s="1209">
        <f t="shared" si="7"/>
        <v>0</v>
      </c>
      <c r="G43" s="1209">
        <f t="shared" si="7"/>
        <v>0</v>
      </c>
      <c r="H43" s="1209">
        <f t="shared" si="7"/>
        <v>0</v>
      </c>
      <c r="I43" s="1209">
        <f t="shared" si="7"/>
        <v>0</v>
      </c>
      <c r="J43" s="1209">
        <f t="shared" si="7"/>
        <v>0</v>
      </c>
      <c r="K43" s="1209">
        <f t="shared" si="7"/>
        <v>0</v>
      </c>
      <c r="L43" s="1209">
        <f t="shared" si="7"/>
        <v>-43184.959999999999</v>
      </c>
      <c r="M43" s="1410"/>
      <c r="N43" s="1411"/>
      <c r="O43" s="1411"/>
      <c r="P43" s="1412"/>
      <c r="Q43" s="729"/>
      <c r="S43" s="409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2"/>
    </row>
    <row r="44" spans="2:32" ht="27" customHeight="1" x14ac:dyDescent="0.2">
      <c r="B44" s="727"/>
      <c r="C44" s="1210" t="s">
        <v>81</v>
      </c>
      <c r="D44" s="1211" t="s">
        <v>256</v>
      </c>
      <c r="E44" s="1212">
        <f>+L22</f>
        <v>0</v>
      </c>
      <c r="F44" s="450"/>
      <c r="G44" s="450"/>
      <c r="H44" s="450"/>
      <c r="I44" s="450"/>
      <c r="J44" s="450"/>
      <c r="K44" s="450"/>
      <c r="L44" s="1212">
        <f>SUM(E44:K44)</f>
        <v>0</v>
      </c>
      <c r="M44" s="1413"/>
      <c r="N44" s="1414"/>
      <c r="O44" s="1414"/>
      <c r="P44" s="1415"/>
      <c r="Q44" s="729"/>
      <c r="S44" s="409"/>
      <c r="T44" s="411"/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2"/>
    </row>
    <row r="45" spans="2:32" ht="27" customHeight="1" x14ac:dyDescent="0.2">
      <c r="B45" s="727"/>
      <c r="C45" s="1213" t="s">
        <v>88</v>
      </c>
      <c r="D45" s="1214" t="s">
        <v>257</v>
      </c>
      <c r="E45" s="1215">
        <f>+L23</f>
        <v>-43184.959999999999</v>
      </c>
      <c r="F45" s="451"/>
      <c r="G45" s="451"/>
      <c r="H45" s="451"/>
      <c r="I45" s="451"/>
      <c r="J45" s="451"/>
      <c r="K45" s="451"/>
      <c r="L45" s="1215">
        <f>SUM(E45:K45)</f>
        <v>-43184.959999999999</v>
      </c>
      <c r="M45" s="1416"/>
      <c r="N45" s="1417"/>
      <c r="O45" s="1417"/>
      <c r="P45" s="1418"/>
      <c r="Q45" s="729"/>
      <c r="S45" s="409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2"/>
    </row>
    <row r="46" spans="2:32" ht="27" customHeight="1" x14ac:dyDescent="0.2">
      <c r="B46" s="727"/>
      <c r="C46" s="1213" t="s">
        <v>90</v>
      </c>
      <c r="D46" s="1214" t="s">
        <v>258</v>
      </c>
      <c r="E46" s="1215">
        <f>+L24</f>
        <v>0</v>
      </c>
      <c r="F46" s="451"/>
      <c r="G46" s="451"/>
      <c r="H46" s="451"/>
      <c r="I46" s="451"/>
      <c r="J46" s="451"/>
      <c r="K46" s="451"/>
      <c r="L46" s="1215">
        <f>SUM(E46:K46)</f>
        <v>0</v>
      </c>
      <c r="M46" s="1416"/>
      <c r="N46" s="1417"/>
      <c r="O46" s="1417"/>
      <c r="P46" s="1418"/>
      <c r="Q46" s="729"/>
      <c r="S46" s="409"/>
      <c r="T46" s="411"/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2"/>
    </row>
    <row r="47" spans="2:32" ht="27" customHeight="1" x14ac:dyDescent="0.2">
      <c r="B47" s="727"/>
      <c r="C47" s="1213" t="s">
        <v>92</v>
      </c>
      <c r="D47" s="1214" t="s">
        <v>313</v>
      </c>
      <c r="E47" s="1215">
        <f>+L25</f>
        <v>0</v>
      </c>
      <c r="F47" s="451"/>
      <c r="G47" s="451"/>
      <c r="H47" s="451"/>
      <c r="I47" s="451"/>
      <c r="J47" s="451"/>
      <c r="K47" s="451"/>
      <c r="L47" s="1215">
        <f>SUM(E47:K47)</f>
        <v>0</v>
      </c>
      <c r="M47" s="1416"/>
      <c r="N47" s="1417"/>
      <c r="O47" s="1417"/>
      <c r="P47" s="1418"/>
      <c r="Q47" s="729"/>
      <c r="S47" s="409"/>
      <c r="T47" s="411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2"/>
    </row>
    <row r="48" spans="2:32" ht="27" customHeight="1" x14ac:dyDescent="0.2">
      <c r="B48" s="727"/>
      <c r="C48" s="1207" t="s">
        <v>201</v>
      </c>
      <c r="D48" s="1208" t="s">
        <v>259</v>
      </c>
      <c r="E48" s="1209">
        <f>+L26</f>
        <v>0</v>
      </c>
      <c r="F48" s="452"/>
      <c r="G48" s="452"/>
      <c r="H48" s="452"/>
      <c r="I48" s="452"/>
      <c r="J48" s="452"/>
      <c r="K48" s="452"/>
      <c r="L48" s="1209">
        <f>SUM(E48:K48)</f>
        <v>0</v>
      </c>
      <c r="M48" s="1419"/>
      <c r="N48" s="1420"/>
      <c r="O48" s="1420"/>
      <c r="P48" s="1421"/>
      <c r="Q48" s="729"/>
      <c r="S48" s="409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2"/>
    </row>
    <row r="49" spans="2:32" ht="27" customHeight="1" x14ac:dyDescent="0.2">
      <c r="B49" s="727"/>
      <c r="C49" s="1207" t="s">
        <v>209</v>
      </c>
      <c r="D49" s="1208" t="s">
        <v>260</v>
      </c>
      <c r="E49" s="1209">
        <f t="shared" ref="E49:L49" si="8">SUM(E50:E51)</f>
        <v>-13099056.140000001</v>
      </c>
      <c r="F49" s="1209">
        <f t="shared" si="8"/>
        <v>0</v>
      </c>
      <c r="G49" s="1209">
        <f t="shared" si="8"/>
        <v>0</v>
      </c>
      <c r="H49" s="1209">
        <f t="shared" si="8"/>
        <v>0</v>
      </c>
      <c r="I49" s="1209">
        <f t="shared" si="8"/>
        <v>-1399071.93</v>
      </c>
      <c r="J49" s="1209">
        <f t="shared" si="8"/>
        <v>0</v>
      </c>
      <c r="K49" s="1209">
        <f t="shared" si="8"/>
        <v>0</v>
      </c>
      <c r="L49" s="1209">
        <f t="shared" si="8"/>
        <v>-14498128.07</v>
      </c>
      <c r="M49" s="1410"/>
      <c r="N49" s="1411"/>
      <c r="O49" s="1411"/>
      <c r="P49" s="1412"/>
      <c r="Q49" s="729"/>
      <c r="S49" s="409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2"/>
    </row>
    <row r="50" spans="2:32" ht="27" customHeight="1" x14ac:dyDescent="0.2">
      <c r="B50" s="727"/>
      <c r="C50" s="1210" t="s">
        <v>81</v>
      </c>
      <c r="D50" s="1211" t="s">
        <v>261</v>
      </c>
      <c r="E50" s="1212">
        <f t="shared" ref="E50:E55" si="9">+L28</f>
        <v>1458.19</v>
      </c>
      <c r="F50" s="450"/>
      <c r="G50" s="450"/>
      <c r="H50" s="450"/>
      <c r="I50" s="450"/>
      <c r="J50" s="450"/>
      <c r="K50" s="450"/>
      <c r="L50" s="1212">
        <f t="shared" ref="L50:L55" si="10">SUM(E50:K50)</f>
        <v>1458.19</v>
      </c>
      <c r="M50" s="1413"/>
      <c r="N50" s="1414"/>
      <c r="O50" s="1414"/>
      <c r="P50" s="1415"/>
      <c r="Q50" s="729"/>
      <c r="S50" s="409"/>
      <c r="T50" s="411"/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2"/>
    </row>
    <row r="51" spans="2:32" ht="27" customHeight="1" x14ac:dyDescent="0.2">
      <c r="B51" s="727"/>
      <c r="C51" s="1213" t="s">
        <v>88</v>
      </c>
      <c r="D51" s="1214" t="s">
        <v>262</v>
      </c>
      <c r="E51" s="1215">
        <f t="shared" si="9"/>
        <v>-13100514.33</v>
      </c>
      <c r="F51" s="451"/>
      <c r="G51" s="451"/>
      <c r="H51" s="451"/>
      <c r="I51" s="451">
        <v>-1399071.93</v>
      </c>
      <c r="J51" s="451"/>
      <c r="K51" s="451"/>
      <c r="L51" s="1215">
        <f t="shared" si="10"/>
        <v>-14499586.26</v>
      </c>
      <c r="M51" s="1416"/>
      <c r="N51" s="1417"/>
      <c r="O51" s="1417"/>
      <c r="P51" s="1418"/>
      <c r="Q51" s="729"/>
      <c r="S51" s="409"/>
      <c r="T51" s="411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2"/>
    </row>
    <row r="52" spans="2:32" ht="27" customHeight="1" x14ac:dyDescent="0.2">
      <c r="B52" s="727"/>
      <c r="C52" s="1207" t="s">
        <v>212</v>
      </c>
      <c r="D52" s="1208" t="s">
        <v>263</v>
      </c>
      <c r="E52" s="1209">
        <f t="shared" si="9"/>
        <v>14490849.130000001</v>
      </c>
      <c r="F52" s="452"/>
      <c r="G52" s="452"/>
      <c r="H52" s="452">
        <f>15871581.31-14490849.13+52428.25</f>
        <v>1433160.4299999997</v>
      </c>
      <c r="I52" s="452"/>
      <c r="J52" s="452"/>
      <c r="K52" s="452"/>
      <c r="L52" s="1209">
        <f t="shared" si="10"/>
        <v>15924009.560000001</v>
      </c>
      <c r="M52" s="1419"/>
      <c r="N52" s="1420"/>
      <c r="O52" s="1420"/>
      <c r="P52" s="1421"/>
      <c r="Q52" s="729"/>
      <c r="S52" s="409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2"/>
    </row>
    <row r="53" spans="2:32" ht="27" customHeight="1" x14ac:dyDescent="0.2">
      <c r="B53" s="727"/>
      <c r="C53" s="1207" t="s">
        <v>214</v>
      </c>
      <c r="D53" s="1208" t="s">
        <v>264</v>
      </c>
      <c r="E53" s="1209">
        <f t="shared" si="9"/>
        <v>-1399071.93</v>
      </c>
      <c r="F53" s="452"/>
      <c r="G53" s="452"/>
      <c r="H53" s="452"/>
      <c r="I53" s="452">
        <v>1399071.93</v>
      </c>
      <c r="J53" s="452"/>
      <c r="K53" s="452">
        <f>-1380732.18-52428.25</f>
        <v>-1433160.43</v>
      </c>
      <c r="L53" s="1209">
        <f t="shared" si="10"/>
        <v>-1433160.43</v>
      </c>
      <c r="M53" s="1410"/>
      <c r="N53" s="1411"/>
      <c r="O53" s="1411"/>
      <c r="P53" s="1412"/>
      <c r="Q53" s="729"/>
      <c r="S53" s="409"/>
      <c r="T53" s="411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2"/>
    </row>
    <row r="54" spans="2:32" ht="27" customHeight="1" x14ac:dyDescent="0.2">
      <c r="B54" s="727"/>
      <c r="C54" s="1207" t="s">
        <v>265</v>
      </c>
      <c r="D54" s="1208" t="s">
        <v>266</v>
      </c>
      <c r="E54" s="1209">
        <f t="shared" si="9"/>
        <v>0</v>
      </c>
      <c r="F54" s="452"/>
      <c r="G54" s="452"/>
      <c r="H54" s="452"/>
      <c r="I54" s="452"/>
      <c r="J54" s="452"/>
      <c r="K54" s="452"/>
      <c r="L54" s="1209">
        <f t="shared" si="10"/>
        <v>0</v>
      </c>
      <c r="M54" s="1410"/>
      <c r="N54" s="1411"/>
      <c r="O54" s="1411"/>
      <c r="P54" s="1412"/>
      <c r="Q54" s="729"/>
      <c r="S54" s="409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2"/>
    </row>
    <row r="55" spans="2:32" ht="27" customHeight="1" x14ac:dyDescent="0.2">
      <c r="B55" s="727"/>
      <c r="C55" s="1207" t="s">
        <v>267</v>
      </c>
      <c r="D55" s="1208" t="s">
        <v>268</v>
      </c>
      <c r="E55" s="1209">
        <f t="shared" si="9"/>
        <v>0</v>
      </c>
      <c r="F55" s="452"/>
      <c r="G55" s="452"/>
      <c r="H55" s="452"/>
      <c r="I55" s="452"/>
      <c r="J55" s="452"/>
      <c r="K55" s="452"/>
      <c r="L55" s="1209">
        <f t="shared" si="10"/>
        <v>0</v>
      </c>
      <c r="M55" s="1410"/>
      <c r="N55" s="1411"/>
      <c r="O55" s="1411"/>
      <c r="P55" s="1412"/>
      <c r="Q55" s="729"/>
      <c r="S55" s="409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2"/>
    </row>
    <row r="56" spans="2:32" ht="27" customHeight="1" x14ac:dyDescent="0.2">
      <c r="B56" s="727"/>
      <c r="C56" s="1216"/>
      <c r="D56" s="728"/>
      <c r="E56" s="1217"/>
      <c r="F56" s="1217"/>
      <c r="G56" s="1217"/>
      <c r="H56" s="1217"/>
      <c r="I56" s="1217"/>
      <c r="J56" s="1217"/>
      <c r="K56" s="1217"/>
      <c r="L56" s="1217"/>
      <c r="M56" s="1217"/>
      <c r="N56" s="1217"/>
      <c r="O56" s="1217"/>
      <c r="P56" s="1218"/>
      <c r="Q56" s="729"/>
      <c r="S56" s="409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2"/>
    </row>
    <row r="57" spans="2:32" ht="23" customHeight="1" thickBot="1" x14ac:dyDescent="0.25">
      <c r="B57" s="727"/>
      <c r="C57" s="1219"/>
      <c r="D57" s="1220"/>
      <c r="E57" s="1221"/>
      <c r="F57" s="1221"/>
      <c r="G57" s="1221"/>
      <c r="H57" s="1221"/>
      <c r="I57" s="1221"/>
      <c r="J57" s="1221"/>
      <c r="K57" s="1221"/>
      <c r="L57" s="1221"/>
      <c r="M57" s="1221"/>
      <c r="N57" s="1221"/>
      <c r="O57" s="1221"/>
      <c r="P57" s="1222"/>
      <c r="Q57" s="729"/>
      <c r="S57" s="422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4"/>
    </row>
    <row r="58" spans="2:32" ht="23" customHeight="1" thickBot="1" x14ac:dyDescent="0.2">
      <c r="B58" s="757"/>
      <c r="C58" s="1369"/>
      <c r="D58" s="1369"/>
      <c r="E58" s="1369"/>
      <c r="F58" s="1369"/>
      <c r="G58" s="1369"/>
      <c r="H58" s="1369"/>
      <c r="I58" s="1369"/>
      <c r="J58" s="1369"/>
      <c r="K58" s="1369"/>
      <c r="L58" s="1369"/>
      <c r="M58" s="1369"/>
      <c r="N58" s="1369"/>
      <c r="O58" s="1369"/>
      <c r="P58" s="758"/>
      <c r="Q58" s="759"/>
      <c r="S58" s="425"/>
      <c r="T58" s="426"/>
      <c r="U58" s="426"/>
      <c r="V58" s="426"/>
      <c r="W58" s="426"/>
      <c r="X58" s="426"/>
      <c r="Y58" s="426"/>
      <c r="Z58" s="426"/>
      <c r="AA58" s="426"/>
      <c r="AB58" s="426"/>
      <c r="AC58" s="426"/>
      <c r="AD58" s="426"/>
      <c r="AE58" s="426"/>
      <c r="AF58" s="427"/>
    </row>
    <row r="59" spans="2:32" ht="23" customHeight="1" x14ac:dyDescent="0.15">
      <c r="C59" s="723"/>
      <c r="D59" s="723"/>
      <c r="E59" s="723"/>
      <c r="F59" s="723"/>
      <c r="G59" s="723"/>
      <c r="H59" s="723"/>
      <c r="I59" s="723"/>
      <c r="J59" s="723"/>
      <c r="K59" s="723"/>
      <c r="L59" s="723"/>
      <c r="M59" s="723"/>
      <c r="N59" s="723"/>
      <c r="O59" s="723"/>
      <c r="P59" s="723"/>
      <c r="R59" s="722" t="s">
        <v>936</v>
      </c>
    </row>
    <row r="60" spans="2:32" ht="13" x14ac:dyDescent="0.15">
      <c r="C60" s="760" t="s">
        <v>70</v>
      </c>
      <c r="D60" s="723"/>
      <c r="E60" s="723"/>
      <c r="F60" s="723"/>
      <c r="G60" s="723"/>
      <c r="H60" s="723"/>
      <c r="I60" s="723"/>
      <c r="J60" s="723"/>
      <c r="K60" s="723"/>
      <c r="L60" s="723"/>
      <c r="M60" s="723"/>
      <c r="N60" s="723"/>
      <c r="O60" s="723"/>
      <c r="P60" s="701" t="s">
        <v>966</v>
      </c>
    </row>
    <row r="61" spans="2:32" ht="13" x14ac:dyDescent="0.15">
      <c r="C61" s="761" t="s">
        <v>71</v>
      </c>
      <c r="D61" s="723"/>
      <c r="E61" s="723"/>
      <c r="F61" s="723"/>
      <c r="G61" s="723"/>
      <c r="H61" s="723"/>
      <c r="I61" s="723"/>
      <c r="J61" s="723"/>
      <c r="K61" s="723"/>
      <c r="L61" s="723"/>
      <c r="M61" s="723"/>
      <c r="N61" s="723"/>
      <c r="O61" s="723"/>
      <c r="P61" s="723"/>
    </row>
    <row r="62" spans="2:32" ht="13" x14ac:dyDescent="0.15">
      <c r="C62" s="761" t="s">
        <v>72</v>
      </c>
      <c r="D62" s="723"/>
      <c r="E62" s="723"/>
      <c r="F62" s="723"/>
      <c r="G62" s="723"/>
      <c r="H62" s="723"/>
      <c r="I62" s="723"/>
      <c r="J62" s="723"/>
      <c r="K62" s="723"/>
      <c r="L62" s="723"/>
      <c r="M62" s="723"/>
      <c r="N62" s="723"/>
      <c r="O62" s="723"/>
      <c r="P62" s="723"/>
    </row>
    <row r="63" spans="2:32" ht="13" x14ac:dyDescent="0.15">
      <c r="C63" s="761" t="s">
        <v>73</v>
      </c>
      <c r="D63" s="723"/>
      <c r="E63" s="723"/>
      <c r="F63" s="723"/>
      <c r="G63" s="723"/>
      <c r="H63" s="723"/>
      <c r="I63" s="723"/>
      <c r="J63" s="723"/>
      <c r="K63" s="723"/>
      <c r="L63" s="723"/>
      <c r="M63" s="723"/>
      <c r="N63" s="723"/>
      <c r="O63" s="723"/>
      <c r="P63" s="723"/>
    </row>
    <row r="64" spans="2:32" ht="13" x14ac:dyDescent="0.15">
      <c r="C64" s="761" t="s">
        <v>74</v>
      </c>
      <c r="D64" s="723"/>
      <c r="E64" s="723"/>
      <c r="F64" s="723"/>
      <c r="G64" s="723"/>
      <c r="H64" s="723"/>
      <c r="I64" s="723"/>
      <c r="J64" s="723"/>
      <c r="K64" s="723"/>
      <c r="L64" s="723"/>
      <c r="M64" s="723"/>
      <c r="N64" s="723"/>
      <c r="O64" s="723"/>
      <c r="P64" s="723"/>
    </row>
    <row r="65" spans="3:16" ht="23" customHeight="1" x14ac:dyDescent="0.2">
      <c r="C65" s="723"/>
      <c r="D65" s="723"/>
      <c r="E65" s="1223"/>
      <c r="F65" s="1223"/>
      <c r="G65" s="1223"/>
      <c r="H65" s="1223"/>
      <c r="I65" s="1223"/>
      <c r="J65" s="1223"/>
      <c r="K65" s="1223"/>
      <c r="L65" s="1223"/>
      <c r="M65" s="1223"/>
      <c r="N65" s="1223"/>
      <c r="O65" s="1223" t="str">
        <f>IF(_CHECK_LIST!K15&gt;0,"Revisa","")</f>
        <v/>
      </c>
      <c r="P65" s="1223" t="str">
        <f>IF(_CHECK_LIST!L15&gt;0,"Revisa","")</f>
        <v/>
      </c>
    </row>
    <row r="66" spans="3:16" ht="23" customHeight="1" x14ac:dyDescent="0.15">
      <c r="C66" s="723"/>
      <c r="D66" s="723"/>
      <c r="E66" s="723"/>
      <c r="F66" s="723"/>
      <c r="G66" s="723"/>
      <c r="H66" s="723"/>
      <c r="I66" s="723"/>
      <c r="J66" s="723"/>
      <c r="K66" s="723"/>
      <c r="L66" s="723"/>
      <c r="M66" s="723"/>
      <c r="N66" s="723"/>
      <c r="O66" s="723"/>
      <c r="P66" s="723"/>
    </row>
    <row r="67" spans="3:16" ht="23" customHeight="1" x14ac:dyDescent="0.15">
      <c r="C67" s="723"/>
      <c r="D67" s="723"/>
      <c r="E67" s="723"/>
      <c r="F67" s="723"/>
      <c r="G67" s="723"/>
      <c r="H67" s="723"/>
      <c r="I67" s="723"/>
      <c r="J67" s="723"/>
      <c r="K67" s="723"/>
      <c r="L67" s="723"/>
      <c r="M67" s="723"/>
      <c r="N67" s="723"/>
      <c r="O67" s="723"/>
      <c r="P67" s="723"/>
    </row>
    <row r="68" spans="3:16" ht="13" x14ac:dyDescent="0.15">
      <c r="C68" s="723"/>
      <c r="D68" s="723"/>
      <c r="E68" s="723"/>
      <c r="F68" s="723"/>
      <c r="G68" s="723"/>
      <c r="H68" s="723"/>
      <c r="I68" s="723"/>
      <c r="J68" s="723"/>
      <c r="K68" s="723"/>
      <c r="L68" s="723"/>
      <c r="M68" s="723"/>
      <c r="N68" s="723"/>
      <c r="O68" s="723"/>
      <c r="P68" s="723"/>
    </row>
    <row r="69" spans="3:16" ht="13" x14ac:dyDescent="0.15">
      <c r="O69" s="723"/>
      <c r="P69" s="723"/>
    </row>
  </sheetData>
  <sheetProtection sheet="1" objects="1" scenarios="1"/>
  <mergeCells count="47">
    <mergeCell ref="M53:P53"/>
    <mergeCell ref="M54:P54"/>
    <mergeCell ref="M55:P55"/>
    <mergeCell ref="C35:C36"/>
    <mergeCell ref="C13:C14"/>
    <mergeCell ref="D13:D14"/>
    <mergeCell ref="D35:D36"/>
    <mergeCell ref="M47:P47"/>
    <mergeCell ref="M48:P48"/>
    <mergeCell ref="M49:P49"/>
    <mergeCell ref="M50:P50"/>
    <mergeCell ref="M51:P51"/>
    <mergeCell ref="M52:P52"/>
    <mergeCell ref="M41:P41"/>
    <mergeCell ref="M42:P42"/>
    <mergeCell ref="M43:P43"/>
    <mergeCell ref="M31:P31"/>
    <mergeCell ref="M44:P44"/>
    <mergeCell ref="M45:P45"/>
    <mergeCell ref="M46:P46"/>
    <mergeCell ref="M33:P33"/>
    <mergeCell ref="M35:P35"/>
    <mergeCell ref="M36:P36"/>
    <mergeCell ref="M37:P38"/>
    <mergeCell ref="M39:P39"/>
    <mergeCell ref="M40:P40"/>
    <mergeCell ref="M26:P26"/>
    <mergeCell ref="M27:P27"/>
    <mergeCell ref="M28:P28"/>
    <mergeCell ref="M29:P29"/>
    <mergeCell ref="M30:P30"/>
    <mergeCell ref="P6:P7"/>
    <mergeCell ref="D9:P9"/>
    <mergeCell ref="C58:O58"/>
    <mergeCell ref="M14:P14"/>
    <mergeCell ref="M13:P13"/>
    <mergeCell ref="M15:P16"/>
    <mergeCell ref="M17:P17"/>
    <mergeCell ref="M18:P18"/>
    <mergeCell ref="M19:P19"/>
    <mergeCell ref="M20:P20"/>
    <mergeCell ref="M32:P32"/>
    <mergeCell ref="M21:P21"/>
    <mergeCell ref="M22:P22"/>
    <mergeCell ref="M23:P23"/>
    <mergeCell ref="M24:P24"/>
    <mergeCell ref="M25:P25"/>
  </mergeCells>
  <phoneticPr fontId="22" type="noConversion"/>
  <pageMargins left="0.75000000000000011" right="0.75000000000000011" top="1" bottom="1" header="0.5" footer="0.5"/>
  <pageSetup paperSize="9" scale="3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27</vt:i4>
      </vt:variant>
    </vt:vector>
  </HeadingPairs>
  <TitlesOfParts>
    <vt:vector size="52" baseType="lpstr">
      <vt:lpstr>_GENERAL</vt:lpstr>
      <vt:lpstr>_CHECK_LIST</vt:lpstr>
      <vt:lpstr>FC-1_ORGANOS_GOBIERNO</vt:lpstr>
      <vt:lpstr>FC-2_ACCIONISTAS</vt:lpstr>
      <vt:lpstr>FC-3_CPyG</vt:lpstr>
      <vt:lpstr>FC-3_1_INF_ADIC_CPyG</vt:lpstr>
      <vt:lpstr>FC-4_ACTIVO</vt:lpstr>
      <vt:lpstr>FC-4_PASIVO</vt:lpstr>
      <vt:lpstr>FC-4_1_MOV_FP</vt:lpstr>
      <vt:lpstr>FC-5_EFE</vt:lpstr>
      <vt:lpstr>FC-6_Inversiones</vt:lpstr>
      <vt:lpstr>FC-7_INF</vt:lpstr>
      <vt:lpstr>FC-8_INV_FINANCIERAS</vt:lpstr>
      <vt:lpstr>FC-9_TRANS_SUBV</vt:lpstr>
      <vt:lpstr>FC-10_DEUDAS</vt:lpstr>
      <vt:lpstr>FC-11_DEUDA_VIVA</vt:lpstr>
      <vt:lpstr>FC-12_PERFIL_VTO_DEUDA</vt:lpstr>
      <vt:lpstr>FC-13_PERSONAL</vt:lpstr>
      <vt:lpstr>FC-14_OPER_INTERNAS</vt:lpstr>
      <vt:lpstr>FC-15_ENCARGOS</vt:lpstr>
      <vt:lpstr>_FC-16_ESTAB_PRESUP</vt:lpstr>
      <vt:lpstr>FC-16_1_ INF_ADIC_ESTAB_PRESUP</vt:lpstr>
      <vt:lpstr>FC-17_FINANCIACIÓN</vt:lpstr>
      <vt:lpstr>FC-90</vt:lpstr>
      <vt:lpstr>_FC-90_DETALLE</vt:lpstr>
      <vt:lpstr>_CHECK_LIST!Área_de_impresión</vt:lpstr>
      <vt:lpstr>'_FC-16_ESTAB_PRESUP'!Área_de_impresión</vt:lpstr>
      <vt:lpstr>_GENERAL!Área_de_impresión</vt:lpstr>
      <vt:lpstr>'FC-1_ORGANOS_GOBIERNO'!Área_de_impresión</vt:lpstr>
      <vt:lpstr>'FC-10_DEUDAS'!Área_de_impresión</vt:lpstr>
      <vt:lpstr>'FC-11_DEUDA_VIVA'!Área_de_impresión</vt:lpstr>
      <vt:lpstr>'FC-12_PERFIL_VTO_DEUDA'!Área_de_impresión</vt:lpstr>
      <vt:lpstr>'FC-13_PERSONAL'!Área_de_impresión</vt:lpstr>
      <vt:lpstr>'FC-14_OPER_INTERNAS'!Área_de_impresión</vt:lpstr>
      <vt:lpstr>'FC-15_ENCARGOS'!Área_de_impresión</vt:lpstr>
      <vt:lpstr>'FC-16_1_ INF_ADIC_ESTAB_PRESUP'!Área_de_impresión</vt:lpstr>
      <vt:lpstr>'FC-17_FINANCIACIÓN'!Área_de_impresión</vt:lpstr>
      <vt:lpstr>'FC-2_ACCIONISTAS'!Área_de_impresión</vt:lpstr>
      <vt:lpstr>'FC-3_1_INF_ADIC_CPyG'!Área_de_impresión</vt:lpstr>
      <vt:lpstr>'FC-3_CPyG'!Área_de_impresión</vt:lpstr>
      <vt:lpstr>'FC-4_1_MOV_FP'!Área_de_impresión</vt:lpstr>
      <vt:lpstr>'FC-4_ACTIVO'!Área_de_impresión</vt:lpstr>
      <vt:lpstr>'FC-4_PASIVO'!Área_de_impresión</vt:lpstr>
      <vt:lpstr>'FC-5_EFE'!Área_de_impresión</vt:lpstr>
      <vt:lpstr>'FC-6_Inversiones'!Área_de_impresión</vt:lpstr>
      <vt:lpstr>'FC-7_INF'!Área_de_impresión</vt:lpstr>
      <vt:lpstr>'FC-8_INV_FINANCIERAS'!Área_de_impresión</vt:lpstr>
      <vt:lpstr>'FC-9_TRANS_SUBV'!Área_de_impresión</vt:lpstr>
      <vt:lpstr>'FC-90'!Área_de_impresión</vt:lpstr>
      <vt:lpstr>DEPENDENCIA</vt:lpstr>
      <vt:lpstr>ejercicio</vt:lpstr>
      <vt:lpstr>Entidad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Abreu</dc:creator>
  <cp:lastModifiedBy>Francisco Abreu</cp:lastModifiedBy>
  <cp:lastPrinted>2019-12-01T09:12:11Z</cp:lastPrinted>
  <dcterms:created xsi:type="dcterms:W3CDTF">2017-09-18T15:25:23Z</dcterms:created>
  <dcterms:modified xsi:type="dcterms:W3CDTF">2019-12-01T09:19:04Z</dcterms:modified>
</cp:coreProperties>
</file>