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ronimoc.tea\Downloads\"/>
    </mc:Choice>
  </mc:AlternateContent>
  <xr:revisionPtr revIDLastSave="0" documentId="8_{617FEFB5-688A-4E47-9661-B4F4CF6035F0}" xr6:coauthVersionLast="41" xr6:coauthVersionMax="41" xr10:uidLastSave="{00000000-0000-0000-0000-000000000000}"/>
  <bookViews>
    <workbookView xWindow="-120" yWindow="-120" windowWidth="29040" windowHeight="15840" tabRatio="850" firstSheet="1" activeTab="1" xr2:uid="{00000000-000D-0000-FFFF-FFFF00000000}"/>
  </bookViews>
  <sheets>
    <sheet name="_GENERAL" sheetId="4" r:id="rId1"/>
    <sheet name="_CHECK_LIST" sheetId="37" r:id="rId2"/>
    <sheet name="FC-1_ORGANOS_GOBIERNO" sheetId="1" r:id="rId3"/>
    <sheet name="FC-2_ACCIONISTAS" sheetId="3" r:id="rId4"/>
    <sheet name="FC-3_CPyG" sheetId="7" r:id="rId5"/>
    <sheet name="FC-3_1_INF_ADIC_CPyG" sheetId="36" r:id="rId6"/>
    <sheet name="FC-4_ACTIVO" sheetId="9" r:id="rId7"/>
    <sheet name="FC-4_PASIVO" sheetId="14" r:id="rId8"/>
    <sheet name="FC-4_1_MOV_FP" sheetId="42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39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OMIENDAS" sheetId="28" r:id="rId20"/>
    <sheet name="_FC-16_ESTAB_PRESUP" sheetId="29" r:id="rId21"/>
    <sheet name="FC-17_FINANCIACIÓN" sheetId="31" r:id="rId22"/>
    <sheet name="FC-90" sheetId="34" r:id="rId23"/>
    <sheet name="_FC-90_DETALLE" sheetId="41" state="hidden" r:id="rId24"/>
  </sheets>
  <definedNames>
    <definedName name="_xlnm.Print_Area" localSheetId="1">_CHECK_LIST!$B$5:$H$59</definedName>
    <definedName name="_xlnm.Print_Area" localSheetId="20">'_FC-16_ESTAB_PRESUP'!$B$1:$H$55</definedName>
    <definedName name="_xlnm.Print_Area" localSheetId="0">_GENERAL!$B$5:$N$44</definedName>
    <definedName name="_xlnm.Print_Area" localSheetId="2">'FC-1_ORGANOS_GOBIERNO'!$B$1:$I$48</definedName>
    <definedName name="_xlnm.Print_Area" localSheetId="14">'FC-10_DEUDAS'!$B$5:$T$120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'FC-13_PERSONAL'!$B$1:$K$71</definedName>
    <definedName name="_xlnm.Print_Area" localSheetId="18">'FC-14_OPER_INTERNAS'!$B$1:$I$81</definedName>
    <definedName name="_xlnm.Print_Area" localSheetId="19">'FC-15_ENCOMIENDAS'!$B$1:$H$41</definedName>
    <definedName name="_xlnm.Print_Area" localSheetId="21">'FC-17_FINANCIACIÓN'!$B$1:$F$46</definedName>
    <definedName name="_xlnm.Print_Area" localSheetId="3">'FC-2_ACCIONISTAS'!$B$1:$Q$61</definedName>
    <definedName name="_xlnm.Print_Area" localSheetId="5">'FC-3_1_INF_ADIC_CPyG'!$B$1:$N$100</definedName>
    <definedName name="_xlnm.Print_Area" localSheetId="4">'FC-3_CPyG'!$B$1:$H$92</definedName>
    <definedName name="_xlnm.Print_Area" localSheetId="8">'FC-4_1_MOV_FP'!$B$5:$Q$58</definedName>
    <definedName name="_xlnm.Print_Area" localSheetId="6">'FC-4_ACTIVO'!$B$1:$H$101</definedName>
    <definedName name="_xlnm.Print_Area" localSheetId="7">'FC-4_PASIVO'!$B$1:$H$93</definedName>
    <definedName name="_xlnm.Print_Area" localSheetId="9">'FC-5_EFE'!$B$1:$I$106</definedName>
    <definedName name="_xlnm.Print_Area" localSheetId="10">'FC-6_Inversiones'!$B$1:$S$61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'FC-9_TRANS_SUBV'!$B$1:$Q$117</definedName>
    <definedName name="_xlnm.Print_Area" localSheetId="22">'FC-90'!$B$1:$F$70</definedName>
    <definedName name="DEPENDENCIA">_GENERAL!$H$15</definedName>
    <definedName name="ejercicio">_GENERAL!$D$15</definedName>
    <definedName name="Entidad">_GENERAL!$D$13</definedName>
  </definedNames>
  <calcPr calcId="181029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9" i="36" l="1"/>
  <c r="G18" i="14"/>
  <c r="G22" i="14"/>
  <c r="G28" i="14"/>
  <c r="G17" i="14"/>
  <c r="G17" i="9"/>
  <c r="G28" i="9"/>
  <c r="G26" i="9"/>
  <c r="G30" i="9"/>
  <c r="G33" i="9"/>
  <c r="G40" i="9"/>
  <c r="G16" i="9"/>
  <c r="G41" i="14"/>
  <c r="G54" i="9"/>
  <c r="G57" i="9"/>
  <c r="G60" i="9"/>
  <c r="G52" i="9"/>
  <c r="G66" i="9"/>
  <c r="G65" i="9"/>
  <c r="G75" i="9"/>
  <c r="G82" i="9"/>
  <c r="G90" i="9"/>
  <c r="G50" i="9"/>
  <c r="G63" i="14"/>
  <c r="G71" i="14"/>
  <c r="G66" i="14"/>
  <c r="G74" i="14"/>
  <c r="G78" i="14"/>
  <c r="G73" i="14"/>
  <c r="G61" i="14"/>
  <c r="E25" i="31"/>
  <c r="H52" i="39"/>
  <c r="H67" i="39"/>
  <c r="E24" i="31"/>
  <c r="J58" i="39"/>
  <c r="M23" i="39"/>
  <c r="M22" i="39"/>
  <c r="M21" i="39"/>
  <c r="J48" i="39"/>
  <c r="J47" i="39"/>
  <c r="J46" i="39"/>
  <c r="J45" i="39"/>
  <c r="J44" i="39"/>
  <c r="J43" i="39"/>
  <c r="J42" i="39"/>
  <c r="J41" i="39"/>
  <c r="J40" i="39"/>
  <c r="F48" i="7"/>
  <c r="G40" i="7"/>
  <c r="F28" i="15"/>
  <c r="G35" i="7"/>
  <c r="F78" i="14"/>
  <c r="F71" i="14"/>
  <c r="G31" i="39"/>
  <c r="G34" i="39"/>
  <c r="J19" i="39"/>
  <c r="H31" i="39"/>
  <c r="H34" i="39"/>
  <c r="K19" i="39"/>
  <c r="F17" i="15"/>
  <c r="G44" i="39"/>
  <c r="H30" i="42"/>
  <c r="E78" i="14"/>
  <c r="E53" i="9"/>
  <c r="E22" i="9"/>
  <c r="L42" i="36"/>
  <c r="I42" i="36"/>
  <c r="F32" i="7"/>
  <c r="F31" i="7"/>
  <c r="F35" i="7"/>
  <c r="F28" i="7"/>
  <c r="E35" i="7"/>
  <c r="G32" i="7"/>
  <c r="E32" i="7"/>
  <c r="E28" i="7"/>
  <c r="E18" i="7"/>
  <c r="G31" i="15"/>
  <c r="F172" i="41"/>
  <c r="I31" i="15"/>
  <c r="F173" i="41"/>
  <c r="J31" i="15"/>
  <c r="F174" i="41"/>
  <c r="L31" i="15"/>
  <c r="F175" i="41"/>
  <c r="F169" i="41"/>
  <c r="G169" i="41"/>
  <c r="H169" i="41"/>
  <c r="I25" i="17"/>
  <c r="I34" i="17"/>
  <c r="I49" i="17"/>
  <c r="I58" i="17"/>
  <c r="F177" i="41"/>
  <c r="F176" i="41"/>
  <c r="G176" i="41"/>
  <c r="H176" i="41"/>
  <c r="F179" i="41"/>
  <c r="F54" i="9"/>
  <c r="F57" i="9"/>
  <c r="F60" i="9"/>
  <c r="F52" i="9"/>
  <c r="F180" i="41"/>
  <c r="F66" i="9"/>
  <c r="F65" i="9"/>
  <c r="F182" i="41"/>
  <c r="F90" i="9"/>
  <c r="F183" i="41"/>
  <c r="G178" i="41"/>
  <c r="F184" i="41"/>
  <c r="H184" i="41"/>
  <c r="G44" i="14"/>
  <c r="F44" i="14"/>
  <c r="F186" i="41"/>
  <c r="F187" i="41"/>
  <c r="F188" i="41"/>
  <c r="F74" i="14"/>
  <c r="F73" i="14"/>
  <c r="F189" i="41"/>
  <c r="F63" i="14"/>
  <c r="F190" i="41"/>
  <c r="F191" i="41"/>
  <c r="G185" i="41"/>
  <c r="F193" i="41"/>
  <c r="F192" i="41"/>
  <c r="G192" i="41"/>
  <c r="H192" i="41"/>
  <c r="F194" i="41"/>
  <c r="G194" i="41"/>
  <c r="H194" i="41"/>
  <c r="H16" i="41"/>
  <c r="E16" i="34"/>
  <c r="H17" i="41"/>
  <c r="E17" i="34"/>
  <c r="G16" i="7"/>
  <c r="E19" i="41"/>
  <c r="H19" i="41"/>
  <c r="E20" i="41"/>
  <c r="H20" i="41"/>
  <c r="E21" i="41"/>
  <c r="H21" i="41"/>
  <c r="G47" i="36"/>
  <c r="E22" i="41"/>
  <c r="H22" i="41"/>
  <c r="H23" i="41"/>
  <c r="H24" i="41"/>
  <c r="H25" i="41"/>
  <c r="H18" i="41"/>
  <c r="E18" i="34"/>
  <c r="E27" i="41"/>
  <c r="H27" i="41"/>
  <c r="F28" i="41"/>
  <c r="H29" i="41"/>
  <c r="H30" i="41"/>
  <c r="E32" i="41"/>
  <c r="H32" i="41"/>
  <c r="G52" i="7"/>
  <c r="E33" i="41"/>
  <c r="H33" i="41"/>
  <c r="G55" i="7"/>
  <c r="E34" i="41"/>
  <c r="H34" i="41"/>
  <c r="E35" i="41"/>
  <c r="H35" i="41"/>
  <c r="E36" i="41"/>
  <c r="H36" i="41"/>
  <c r="H37" i="41"/>
  <c r="H38" i="41"/>
  <c r="H31" i="41"/>
  <c r="E20" i="34"/>
  <c r="K31" i="15"/>
  <c r="F42" i="41"/>
  <c r="H42" i="41"/>
  <c r="H43" i="41"/>
  <c r="H44" i="41"/>
  <c r="H41" i="41"/>
  <c r="E23" i="34"/>
  <c r="I31" i="39"/>
  <c r="F46" i="41"/>
  <c r="F39" i="42"/>
  <c r="F43" i="42"/>
  <c r="F49" i="42"/>
  <c r="F38" i="42"/>
  <c r="F47" i="41"/>
  <c r="H47" i="41"/>
  <c r="H48" i="41"/>
  <c r="H49" i="41"/>
  <c r="H25" i="17"/>
  <c r="F53" i="41"/>
  <c r="H53" i="41"/>
  <c r="H34" i="17"/>
  <c r="F54" i="41"/>
  <c r="H54" i="41"/>
  <c r="H49" i="17"/>
  <c r="F55" i="41"/>
  <c r="H55" i="41"/>
  <c r="H58" i="17"/>
  <c r="F56" i="41"/>
  <c r="H56" i="41"/>
  <c r="H57" i="41"/>
  <c r="H58" i="41"/>
  <c r="H52" i="41"/>
  <c r="E27" i="34"/>
  <c r="M43" i="23"/>
  <c r="F60" i="41"/>
  <c r="H60" i="41"/>
  <c r="H61" i="41"/>
  <c r="H62" i="41"/>
  <c r="M75" i="23"/>
  <c r="F63" i="41"/>
  <c r="H63" i="41"/>
  <c r="M107" i="23"/>
  <c r="F64" i="41"/>
  <c r="H64" i="41"/>
  <c r="H65" i="41"/>
  <c r="H66" i="41"/>
  <c r="H67" i="41"/>
  <c r="H59" i="41"/>
  <c r="E28" i="34"/>
  <c r="E29" i="34"/>
  <c r="E73" i="41"/>
  <c r="H73" i="41"/>
  <c r="E74" i="41"/>
  <c r="H74" i="41"/>
  <c r="E75" i="41"/>
  <c r="H75" i="41"/>
  <c r="E76" i="41"/>
  <c r="H76" i="41"/>
  <c r="E77" i="41"/>
  <c r="H77" i="41"/>
  <c r="E78" i="41"/>
  <c r="H78" i="41"/>
  <c r="E79" i="41"/>
  <c r="H79" i="41"/>
  <c r="G63" i="7"/>
  <c r="E80" i="41"/>
  <c r="H80" i="41"/>
  <c r="H72" i="41"/>
  <c r="E33" i="34"/>
  <c r="G30" i="7"/>
  <c r="E88" i="41"/>
  <c r="H88" i="41"/>
  <c r="E89" i="41"/>
  <c r="H89" i="41"/>
  <c r="H90" i="41"/>
  <c r="H91" i="41"/>
  <c r="H87" i="41"/>
  <c r="E39" i="34"/>
  <c r="G22" i="7"/>
  <c r="E93" i="41"/>
  <c r="H93" i="41"/>
  <c r="E94" i="41"/>
  <c r="H94" i="41"/>
  <c r="E95" i="41"/>
  <c r="H95" i="41"/>
  <c r="E96" i="41"/>
  <c r="H96" i="41"/>
  <c r="E97" i="41"/>
  <c r="H97" i="41"/>
  <c r="E98" i="41"/>
  <c r="H98" i="41"/>
  <c r="E99" i="41"/>
  <c r="H99" i="41"/>
  <c r="G55" i="36"/>
  <c r="E100" i="41"/>
  <c r="H100" i="41"/>
  <c r="G85" i="36"/>
  <c r="E101" i="41"/>
  <c r="H101" i="41"/>
  <c r="H102" i="41"/>
  <c r="H103" i="41"/>
  <c r="H104" i="41"/>
  <c r="H92" i="41"/>
  <c r="E106" i="41"/>
  <c r="H106" i="41"/>
  <c r="E107" i="41"/>
  <c r="H107" i="41"/>
  <c r="E108" i="41"/>
  <c r="H108" i="41"/>
  <c r="H109" i="41"/>
  <c r="H110" i="41"/>
  <c r="H105" i="41"/>
  <c r="E41" i="34"/>
  <c r="E112" i="41"/>
  <c r="H112" i="41"/>
  <c r="H113" i="41"/>
  <c r="H114" i="41"/>
  <c r="H111" i="41"/>
  <c r="E42" i="34"/>
  <c r="F31" i="15"/>
  <c r="F118" i="41"/>
  <c r="H31" i="15"/>
  <c r="F119" i="41"/>
  <c r="H119" i="41"/>
  <c r="H120" i="41"/>
  <c r="H121" i="41"/>
  <c r="G39" i="42"/>
  <c r="G43" i="42"/>
  <c r="G49" i="42"/>
  <c r="G38" i="42"/>
  <c r="F123" i="41"/>
  <c r="H123" i="41"/>
  <c r="H124" i="41"/>
  <c r="H125" i="41"/>
  <c r="H122" i="41"/>
  <c r="E46" i="34"/>
  <c r="G25" i="17"/>
  <c r="F129" i="41"/>
  <c r="H129" i="41"/>
  <c r="G34" i="17"/>
  <c r="F130" i="41"/>
  <c r="H130" i="41"/>
  <c r="G49" i="17"/>
  <c r="F131" i="41"/>
  <c r="H131" i="41"/>
  <c r="G58" i="17"/>
  <c r="F132" i="41"/>
  <c r="H132" i="41"/>
  <c r="H133" i="41"/>
  <c r="H134" i="41"/>
  <c r="H128" i="41"/>
  <c r="E49" i="34"/>
  <c r="N43" i="23"/>
  <c r="F136" i="41"/>
  <c r="H136" i="41"/>
  <c r="H137" i="41"/>
  <c r="H138" i="41"/>
  <c r="N75" i="23"/>
  <c r="F139" i="41"/>
  <c r="H139" i="41"/>
  <c r="N107" i="23"/>
  <c r="F140" i="41"/>
  <c r="H140" i="41"/>
  <c r="H141" i="41"/>
  <c r="H142" i="41"/>
  <c r="H143" i="41"/>
  <c r="H135" i="41"/>
  <c r="E50" i="34"/>
  <c r="E51" i="34"/>
  <c r="E152" i="41"/>
  <c r="H152" i="41"/>
  <c r="E153" i="41"/>
  <c r="H153" i="41"/>
  <c r="E154" i="41"/>
  <c r="H154" i="41"/>
  <c r="E155" i="41"/>
  <c r="H155" i="41"/>
  <c r="E156" i="41"/>
  <c r="H156" i="41"/>
  <c r="E157" i="41"/>
  <c r="H157" i="41"/>
  <c r="E158" i="41"/>
  <c r="H158" i="41"/>
  <c r="E159" i="41"/>
  <c r="H159" i="41"/>
  <c r="E160" i="41"/>
  <c r="H160" i="41"/>
  <c r="E161" i="41"/>
  <c r="H161" i="41"/>
  <c r="G67" i="7"/>
  <c r="E162" i="41"/>
  <c r="H162" i="41"/>
  <c r="H151" i="41"/>
  <c r="E55" i="34"/>
  <c r="Q81" i="23"/>
  <c r="P81" i="23"/>
  <c r="O81" i="23"/>
  <c r="N81" i="23"/>
  <c r="M81" i="23"/>
  <c r="L81" i="23"/>
  <c r="Q49" i="23"/>
  <c r="P49" i="23"/>
  <c r="O49" i="23"/>
  <c r="N49" i="23"/>
  <c r="M49" i="23"/>
  <c r="L49" i="23"/>
  <c r="E52" i="41"/>
  <c r="E59" i="41"/>
  <c r="E68" i="41"/>
  <c r="E41" i="41"/>
  <c r="E45" i="41"/>
  <c r="E50" i="41"/>
  <c r="E26" i="41"/>
  <c r="E105" i="41"/>
  <c r="E117" i="41"/>
  <c r="E122" i="41"/>
  <c r="E126" i="41"/>
  <c r="E128" i="41"/>
  <c r="E135" i="41"/>
  <c r="E144" i="41"/>
  <c r="N14" i="21"/>
  <c r="M14" i="21"/>
  <c r="L14" i="21"/>
  <c r="K14" i="21"/>
  <c r="J14" i="21"/>
  <c r="I14" i="21"/>
  <c r="H14" i="21"/>
  <c r="G14" i="21"/>
  <c r="F14" i="21"/>
  <c r="E14" i="21"/>
  <c r="E33" i="42"/>
  <c r="L33" i="42"/>
  <c r="E55" i="42"/>
  <c r="L55" i="42"/>
  <c r="G30" i="37"/>
  <c r="E32" i="42"/>
  <c r="L32" i="42"/>
  <c r="E31" i="42"/>
  <c r="E30" i="42"/>
  <c r="L30" i="42"/>
  <c r="E28" i="42"/>
  <c r="L28" i="42"/>
  <c r="E50" i="42"/>
  <c r="E29" i="42"/>
  <c r="E26" i="42"/>
  <c r="L26" i="42"/>
  <c r="E23" i="42"/>
  <c r="L23" i="42"/>
  <c r="E45" i="42"/>
  <c r="L45" i="42"/>
  <c r="E22" i="42"/>
  <c r="L22" i="42"/>
  <c r="E44" i="42"/>
  <c r="E24" i="42"/>
  <c r="L24" i="42"/>
  <c r="E46" i="42"/>
  <c r="L46" i="42"/>
  <c r="E25" i="42"/>
  <c r="L25" i="42"/>
  <c r="E47" i="42"/>
  <c r="L47" i="42"/>
  <c r="E20" i="42"/>
  <c r="L20" i="42"/>
  <c r="E18" i="42"/>
  <c r="L18" i="42"/>
  <c r="E40" i="42"/>
  <c r="E19" i="42"/>
  <c r="L19" i="42"/>
  <c r="E41" i="42"/>
  <c r="L41" i="42"/>
  <c r="F30" i="37"/>
  <c r="F28" i="14"/>
  <c r="L21" i="42"/>
  <c r="F22" i="14"/>
  <c r="F24" i="37"/>
  <c r="L17" i="42"/>
  <c r="F18" i="14"/>
  <c r="F22" i="37"/>
  <c r="G31" i="37"/>
  <c r="G67" i="39"/>
  <c r="F31" i="37"/>
  <c r="C35" i="42"/>
  <c r="C13" i="42"/>
  <c r="L36" i="42"/>
  <c r="L14" i="42"/>
  <c r="E36" i="42"/>
  <c r="E35" i="42"/>
  <c r="K49" i="42"/>
  <c r="J49" i="42"/>
  <c r="H49" i="42"/>
  <c r="K43" i="42"/>
  <c r="J43" i="42"/>
  <c r="I43" i="42"/>
  <c r="H43" i="42"/>
  <c r="K39" i="42"/>
  <c r="J39" i="42"/>
  <c r="J38" i="42"/>
  <c r="I39" i="42"/>
  <c r="H39" i="42"/>
  <c r="H38" i="42"/>
  <c r="J17" i="42"/>
  <c r="J21" i="42"/>
  <c r="J27" i="42"/>
  <c r="J16" i="42"/>
  <c r="K27" i="42"/>
  <c r="H27" i="42"/>
  <c r="G27" i="42"/>
  <c r="F27" i="42"/>
  <c r="K21" i="42"/>
  <c r="I21" i="42"/>
  <c r="H21" i="42"/>
  <c r="G21" i="42"/>
  <c r="F21" i="42"/>
  <c r="F17" i="42"/>
  <c r="F16" i="42"/>
  <c r="K17" i="42"/>
  <c r="I17" i="42"/>
  <c r="H17" i="42"/>
  <c r="G17" i="42"/>
  <c r="G16" i="42"/>
  <c r="H16" i="42"/>
  <c r="E17" i="42"/>
  <c r="E21" i="42"/>
  <c r="E27" i="42"/>
  <c r="E16" i="42"/>
  <c r="G35" i="14"/>
  <c r="G16" i="14"/>
  <c r="G49" i="14"/>
  <c r="G43" i="14"/>
  <c r="F75" i="9"/>
  <c r="F82" i="9"/>
  <c r="F17" i="9"/>
  <c r="F26" i="9"/>
  <c r="F30" i="9"/>
  <c r="F33" i="9"/>
  <c r="F40" i="9"/>
  <c r="F16" i="9"/>
  <c r="F17" i="14"/>
  <c r="F35" i="14"/>
  <c r="F16" i="14"/>
  <c r="F49" i="14"/>
  <c r="F43" i="14"/>
  <c r="F66" i="14"/>
  <c r="E18" i="14"/>
  <c r="E22" i="14"/>
  <c r="E28" i="14"/>
  <c r="E17" i="14"/>
  <c r="E35" i="14"/>
  <c r="E16" i="14"/>
  <c r="E44" i="14"/>
  <c r="E49" i="14"/>
  <c r="E63" i="14"/>
  <c r="E66" i="14"/>
  <c r="E74" i="14"/>
  <c r="E73" i="14"/>
  <c r="E61" i="14"/>
  <c r="E54" i="9"/>
  <c r="E57" i="9"/>
  <c r="E60" i="9"/>
  <c r="E52" i="9"/>
  <c r="E66" i="9"/>
  <c r="E65" i="9"/>
  <c r="E90" i="9"/>
  <c r="E75" i="9"/>
  <c r="E82" i="9"/>
  <c r="E50" i="9"/>
  <c r="E17" i="9"/>
  <c r="E26" i="9"/>
  <c r="E30" i="9"/>
  <c r="E33" i="9"/>
  <c r="E40" i="9"/>
  <c r="E14" i="42"/>
  <c r="D9" i="42"/>
  <c r="P6" i="42"/>
  <c r="Q82" i="23"/>
  <c r="Q83" i="23"/>
  <c r="Q84" i="23"/>
  <c r="Q85" i="23"/>
  <c r="Q86" i="23"/>
  <c r="Q87" i="23"/>
  <c r="Q88" i="23"/>
  <c r="Q89" i="23"/>
  <c r="Q90" i="23"/>
  <c r="Q91" i="23"/>
  <c r="Q92" i="23"/>
  <c r="Q93" i="23"/>
  <c r="Q94" i="23"/>
  <c r="Q95" i="23"/>
  <c r="Q96" i="23"/>
  <c r="Q97" i="23"/>
  <c r="Q98" i="23"/>
  <c r="Q99" i="23"/>
  <c r="Q100" i="23"/>
  <c r="Q101" i="23"/>
  <c r="Q102" i="23"/>
  <c r="Q103" i="23"/>
  <c r="Q104" i="23"/>
  <c r="Q105" i="23"/>
  <c r="Q106" i="23"/>
  <c r="Q107" i="23"/>
  <c r="R107" i="23"/>
  <c r="S107" i="23"/>
  <c r="G55" i="37"/>
  <c r="G51" i="37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R75" i="23"/>
  <c r="G50" i="37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R43" i="23"/>
  <c r="S43" i="23"/>
  <c r="G53" i="37"/>
  <c r="L53" i="37"/>
  <c r="M53" i="37"/>
  <c r="G47" i="37"/>
  <c r="L47" i="37"/>
  <c r="G51" i="7"/>
  <c r="G59" i="7"/>
  <c r="G70" i="7"/>
  <c r="F52" i="7"/>
  <c r="F55" i="7"/>
  <c r="F51" i="7"/>
  <c r="F59" i="7"/>
  <c r="F63" i="7"/>
  <c r="F67" i="7"/>
  <c r="F70" i="7"/>
  <c r="F74" i="7"/>
  <c r="E52" i="7"/>
  <c r="E55" i="7"/>
  <c r="E51" i="7"/>
  <c r="E59" i="7"/>
  <c r="E67" i="7"/>
  <c r="E63" i="7"/>
  <c r="E70" i="7"/>
  <c r="E74" i="7"/>
  <c r="G46" i="37"/>
  <c r="L46" i="37"/>
  <c r="G168" i="41"/>
  <c r="D9" i="41"/>
  <c r="H6" i="41"/>
  <c r="G52" i="37"/>
  <c r="K107" i="23"/>
  <c r="P43" i="23"/>
  <c r="O43" i="23"/>
  <c r="L43" i="23"/>
  <c r="K43" i="23"/>
  <c r="J31" i="39"/>
  <c r="K31" i="39"/>
  <c r="G43" i="37"/>
  <c r="F31" i="39"/>
  <c r="F43" i="37"/>
  <c r="K34" i="39"/>
  <c r="I33" i="39"/>
  <c r="G45" i="37"/>
  <c r="F33" i="39"/>
  <c r="F34" i="39"/>
  <c r="M31" i="39"/>
  <c r="L31" i="39"/>
  <c r="J16" i="39"/>
  <c r="G16" i="39"/>
  <c r="C12" i="12"/>
  <c r="G27" i="7"/>
  <c r="G34" i="7"/>
  <c r="G43" i="7"/>
  <c r="H17" i="12"/>
  <c r="H29" i="12"/>
  <c r="H36" i="12"/>
  <c r="H45" i="12"/>
  <c r="H54" i="12"/>
  <c r="H63" i="12"/>
  <c r="H66" i="12"/>
  <c r="H73" i="12"/>
  <c r="H79" i="12"/>
  <c r="H72" i="12"/>
  <c r="H85" i="12"/>
  <c r="H95" i="12"/>
  <c r="G95" i="12"/>
  <c r="H94" i="12"/>
  <c r="F16" i="7"/>
  <c r="F22" i="7"/>
  <c r="F27" i="7"/>
  <c r="F30" i="7"/>
  <c r="F34" i="7"/>
  <c r="F43" i="7"/>
  <c r="G17" i="12"/>
  <c r="G29" i="12"/>
  <c r="G36" i="12"/>
  <c r="G45" i="12"/>
  <c r="G54" i="12"/>
  <c r="G63" i="12"/>
  <c r="G66" i="12"/>
  <c r="G73" i="12"/>
  <c r="G79" i="12"/>
  <c r="G72" i="12"/>
  <c r="G85" i="12"/>
  <c r="F95" i="12"/>
  <c r="G94" i="12"/>
  <c r="E16" i="7"/>
  <c r="E22" i="7"/>
  <c r="E27" i="7"/>
  <c r="E30" i="7"/>
  <c r="E34" i="7"/>
  <c r="E43" i="7"/>
  <c r="E49" i="7"/>
  <c r="F17" i="12"/>
  <c r="F29" i="12"/>
  <c r="F36" i="12"/>
  <c r="F45" i="12"/>
  <c r="F54" i="12"/>
  <c r="F63" i="12"/>
  <c r="F66" i="12"/>
  <c r="F73" i="12"/>
  <c r="F79" i="12"/>
  <c r="F72" i="12"/>
  <c r="F85" i="12"/>
  <c r="F88" i="12"/>
  <c r="H81" i="39"/>
  <c r="F87" i="41"/>
  <c r="F92" i="41"/>
  <c r="F105" i="41"/>
  <c r="F111" i="41"/>
  <c r="F115" i="41"/>
  <c r="F151" i="41"/>
  <c r="F52" i="41"/>
  <c r="F18" i="41"/>
  <c r="F31" i="41"/>
  <c r="F72" i="41"/>
  <c r="G48" i="37"/>
  <c r="E168" i="41"/>
  <c r="G52" i="41"/>
  <c r="G59" i="41"/>
  <c r="G68" i="41"/>
  <c r="G41" i="41"/>
  <c r="G45" i="41"/>
  <c r="G50" i="41"/>
  <c r="G18" i="41"/>
  <c r="G26" i="41"/>
  <c r="G31" i="41"/>
  <c r="G39" i="41"/>
  <c r="G70" i="41"/>
  <c r="G72" i="41"/>
  <c r="G87" i="41"/>
  <c r="G92" i="41"/>
  <c r="G105" i="41"/>
  <c r="G111" i="41"/>
  <c r="G115" i="41"/>
  <c r="G117" i="41"/>
  <c r="G122" i="41"/>
  <c r="G126" i="41"/>
  <c r="G128" i="41"/>
  <c r="G135" i="41"/>
  <c r="G144" i="41"/>
  <c r="G146" i="41"/>
  <c r="G151" i="41"/>
  <c r="G164" i="41"/>
  <c r="E29" i="29"/>
  <c r="E28" i="29"/>
  <c r="P107" i="23"/>
  <c r="O107" i="23"/>
  <c r="L107" i="23"/>
  <c r="P75" i="23"/>
  <c r="O75" i="23"/>
  <c r="L75" i="23"/>
  <c r="K75" i="23"/>
  <c r="F45" i="37"/>
  <c r="F44" i="37"/>
  <c r="K44" i="37"/>
  <c r="I19" i="39"/>
  <c r="F19" i="39"/>
  <c r="I17" i="39"/>
  <c r="F17" i="39"/>
  <c r="K96" i="39"/>
  <c r="G96" i="39"/>
  <c r="G81" i="39"/>
  <c r="H70" i="39"/>
  <c r="G70" i="39"/>
  <c r="J67" i="39"/>
  <c r="I67" i="39"/>
  <c r="J56" i="39"/>
  <c r="I56" i="39"/>
  <c r="H56" i="39"/>
  <c r="G56" i="39"/>
  <c r="J52" i="39"/>
  <c r="I52" i="39"/>
  <c r="J38" i="39"/>
  <c r="I38" i="39"/>
  <c r="H38" i="39"/>
  <c r="G38" i="39"/>
  <c r="M17" i="39"/>
  <c r="L17" i="39"/>
  <c r="D9" i="39"/>
  <c r="P6" i="39"/>
  <c r="J39" i="25"/>
  <c r="J40" i="25"/>
  <c r="J41" i="25"/>
  <c r="J42" i="25"/>
  <c r="J43" i="25"/>
  <c r="J44" i="25"/>
  <c r="J45" i="25"/>
  <c r="F53" i="25"/>
  <c r="F31" i="25"/>
  <c r="G56" i="37"/>
  <c r="L56" i="37"/>
  <c r="M56" i="37"/>
  <c r="J51" i="17"/>
  <c r="J52" i="17"/>
  <c r="J53" i="17"/>
  <c r="J54" i="17"/>
  <c r="J55" i="17"/>
  <c r="J56" i="17"/>
  <c r="J57" i="17"/>
  <c r="J58" i="17"/>
  <c r="G42" i="37"/>
  <c r="J27" i="17"/>
  <c r="J28" i="17"/>
  <c r="J29" i="17"/>
  <c r="J30" i="17"/>
  <c r="J31" i="17"/>
  <c r="J32" i="17"/>
  <c r="J33" i="17"/>
  <c r="J34" i="17"/>
  <c r="G40" i="37"/>
  <c r="J42" i="17"/>
  <c r="J43" i="17"/>
  <c r="J44" i="17"/>
  <c r="J45" i="17"/>
  <c r="J46" i="17"/>
  <c r="J47" i="17"/>
  <c r="J48" i="17"/>
  <c r="J49" i="17"/>
  <c r="G41" i="37"/>
  <c r="J18" i="17"/>
  <c r="J19" i="17"/>
  <c r="J20" i="17"/>
  <c r="J21" i="17"/>
  <c r="J22" i="17"/>
  <c r="J23" i="17"/>
  <c r="J24" i="17"/>
  <c r="J25" i="17"/>
  <c r="G39" i="37"/>
  <c r="M18" i="15"/>
  <c r="E29" i="15"/>
  <c r="M29" i="15"/>
  <c r="M19" i="15"/>
  <c r="E30" i="15"/>
  <c r="M30" i="15"/>
  <c r="O31" i="3"/>
  <c r="Q17" i="23"/>
  <c r="P17" i="23"/>
  <c r="O17" i="23"/>
  <c r="N17" i="23"/>
  <c r="M17" i="23"/>
  <c r="L17" i="23"/>
  <c r="I46" i="13"/>
  <c r="G38" i="37"/>
  <c r="G53" i="13"/>
  <c r="G51" i="13"/>
  <c r="F49" i="13"/>
  <c r="G84" i="36"/>
  <c r="I31" i="3"/>
  <c r="I15" i="3"/>
  <c r="O15" i="3"/>
  <c r="I15" i="20"/>
  <c r="K46" i="13"/>
  <c r="G46" i="13"/>
  <c r="H46" i="13"/>
  <c r="J46" i="13"/>
  <c r="L46" i="13"/>
  <c r="M46" i="13"/>
  <c r="E55" i="36"/>
  <c r="E47" i="36"/>
  <c r="K32" i="36"/>
  <c r="K36" i="36"/>
  <c r="K31" i="36"/>
  <c r="E18" i="31"/>
  <c r="F19" i="20"/>
  <c r="K47" i="37"/>
  <c r="K31" i="37"/>
  <c r="L31" i="37"/>
  <c r="M31" i="37"/>
  <c r="G37" i="37"/>
  <c r="L37" i="37"/>
  <c r="I20" i="15"/>
  <c r="F37" i="37"/>
  <c r="K37" i="37"/>
  <c r="M37" i="37"/>
  <c r="M22" i="15"/>
  <c r="E33" i="15"/>
  <c r="M33" i="15"/>
  <c r="G36" i="37"/>
  <c r="L36" i="37"/>
  <c r="M16" i="15"/>
  <c r="M15" i="15"/>
  <c r="G75" i="36"/>
  <c r="G21" i="37"/>
  <c r="L21" i="37"/>
  <c r="F75" i="36"/>
  <c r="F21" i="37"/>
  <c r="K21" i="37"/>
  <c r="E75" i="36"/>
  <c r="E21" i="37"/>
  <c r="J21" i="37"/>
  <c r="M21" i="37"/>
  <c r="G71" i="36"/>
  <c r="G20" i="37"/>
  <c r="L20" i="37"/>
  <c r="E71" i="36"/>
  <c r="E20" i="37"/>
  <c r="J20" i="37"/>
  <c r="F71" i="36"/>
  <c r="F20" i="37"/>
  <c r="K20" i="37"/>
  <c r="G19" i="37"/>
  <c r="L19" i="37"/>
  <c r="E19" i="37"/>
  <c r="J19" i="37"/>
  <c r="F47" i="36"/>
  <c r="F55" i="36"/>
  <c r="F19" i="37"/>
  <c r="K19" i="37"/>
  <c r="M19" i="37"/>
  <c r="K16" i="36"/>
  <c r="K20" i="36"/>
  <c r="K25" i="36"/>
  <c r="K19" i="36"/>
  <c r="K40" i="36"/>
  <c r="E21" i="31"/>
  <c r="K30" i="36"/>
  <c r="E16" i="36"/>
  <c r="E20" i="36"/>
  <c r="E25" i="36"/>
  <c r="E19" i="36"/>
  <c r="E32" i="36"/>
  <c r="E36" i="36"/>
  <c r="E31" i="36"/>
  <c r="E40" i="36"/>
  <c r="E30" i="36"/>
  <c r="H16" i="36"/>
  <c r="H20" i="36"/>
  <c r="H25" i="36"/>
  <c r="H19" i="36"/>
  <c r="H32" i="36"/>
  <c r="H36" i="36"/>
  <c r="H31" i="36"/>
  <c r="H40" i="36"/>
  <c r="H30" i="36"/>
  <c r="L16" i="36"/>
  <c r="L20" i="36"/>
  <c r="L25" i="36"/>
  <c r="L19" i="36"/>
  <c r="L32" i="36"/>
  <c r="L36" i="36"/>
  <c r="L31" i="36"/>
  <c r="L40" i="36"/>
  <c r="I16" i="36"/>
  <c r="I20" i="36"/>
  <c r="I25" i="36"/>
  <c r="I19" i="36"/>
  <c r="I32" i="36"/>
  <c r="I36" i="36"/>
  <c r="I31" i="36"/>
  <c r="I40" i="36"/>
  <c r="I30" i="36"/>
  <c r="I43" i="36"/>
  <c r="F16" i="36"/>
  <c r="F20" i="36"/>
  <c r="F25" i="36"/>
  <c r="F19" i="36"/>
  <c r="F32" i="36"/>
  <c r="F36" i="36"/>
  <c r="F31" i="36"/>
  <c r="F40" i="36"/>
  <c r="E40" i="29"/>
  <c r="E39" i="29"/>
  <c r="E38" i="29"/>
  <c r="E37" i="29"/>
  <c r="E34" i="29"/>
  <c r="E36" i="29"/>
  <c r="E25" i="29"/>
  <c r="E35" i="29"/>
  <c r="E33" i="29"/>
  <c r="E32" i="29"/>
  <c r="E31" i="29"/>
  <c r="E21" i="29"/>
  <c r="E22" i="29"/>
  <c r="E23" i="29"/>
  <c r="E24" i="29"/>
  <c r="E26" i="29"/>
  <c r="E27" i="29"/>
  <c r="E17" i="31"/>
  <c r="E26" i="31"/>
  <c r="E28" i="31"/>
  <c r="G70" i="36"/>
  <c r="F70" i="36"/>
  <c r="E70" i="36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H88" i="12"/>
  <c r="G88" i="12"/>
  <c r="E43" i="36"/>
  <c r="E18" i="37"/>
  <c r="J18" i="37"/>
  <c r="F30" i="36"/>
  <c r="F43" i="36"/>
  <c r="L30" i="36"/>
  <c r="K43" i="36"/>
  <c r="G18" i="37"/>
  <c r="L18" i="37"/>
  <c r="E27" i="15"/>
  <c r="M27" i="15"/>
  <c r="M47" i="37"/>
  <c r="E16" i="31"/>
  <c r="L43" i="36"/>
  <c r="H43" i="36"/>
  <c r="F18" i="37"/>
  <c r="K18" i="37"/>
  <c r="G35" i="37"/>
  <c r="L35" i="37"/>
  <c r="E76" i="7"/>
  <c r="E43" i="14"/>
  <c r="E86" i="14"/>
  <c r="M20" i="37"/>
  <c r="E26" i="15"/>
  <c r="F33" i="37"/>
  <c r="K33" i="37"/>
  <c r="G82" i="41"/>
  <c r="G166" i="41"/>
  <c r="G148" i="41"/>
  <c r="E87" i="41"/>
  <c r="F50" i="9"/>
  <c r="F94" i="9"/>
  <c r="F23" i="37"/>
  <c r="E42" i="42"/>
  <c r="L42" i="42"/>
  <c r="G23" i="37"/>
  <c r="F135" i="41"/>
  <c r="F122" i="41"/>
  <c r="F128" i="41"/>
  <c r="F144" i="41"/>
  <c r="F49" i="7"/>
  <c r="F76" i="7"/>
  <c r="G74" i="7"/>
  <c r="E16" i="9"/>
  <c r="E94" i="9"/>
  <c r="E15" i="37"/>
  <c r="J15" i="37"/>
  <c r="L50" i="42"/>
  <c r="E54" i="42"/>
  <c r="L54" i="42"/>
  <c r="G29" i="37"/>
  <c r="F29" i="37"/>
  <c r="F36" i="37"/>
  <c r="K36" i="37"/>
  <c r="M36" i="37"/>
  <c r="E92" i="41"/>
  <c r="S75" i="23"/>
  <c r="G49" i="37"/>
  <c r="F61" i="14"/>
  <c r="E39" i="42"/>
  <c r="L40" i="42"/>
  <c r="L39" i="42"/>
  <c r="L44" i="42"/>
  <c r="L43" i="42"/>
  <c r="G24" i="37"/>
  <c r="E43" i="42"/>
  <c r="F25" i="37"/>
  <c r="E48" i="42"/>
  <c r="L48" i="42"/>
  <c r="G25" i="37"/>
  <c r="J34" i="39"/>
  <c r="I34" i="39"/>
  <c r="F35" i="37"/>
  <c r="K35" i="37"/>
  <c r="M35" i="37"/>
  <c r="F59" i="41"/>
  <c r="F68" i="41"/>
  <c r="F41" i="41"/>
  <c r="E18" i="41"/>
  <c r="E31" i="41"/>
  <c r="E39" i="41"/>
  <c r="E70" i="41"/>
  <c r="E72" i="41"/>
  <c r="E82" i="41"/>
  <c r="G22" i="37"/>
  <c r="F27" i="37"/>
  <c r="E52" i="42"/>
  <c r="L52" i="42"/>
  <c r="G27" i="37"/>
  <c r="E151" i="41"/>
  <c r="E94" i="14"/>
  <c r="F17" i="37"/>
  <c r="K17" i="37"/>
  <c r="H144" i="41"/>
  <c r="G17" i="37"/>
  <c r="L17" i="37"/>
  <c r="E17" i="37"/>
  <c r="J17" i="37"/>
  <c r="M17" i="37"/>
  <c r="F16" i="12"/>
  <c r="F42" i="12"/>
  <c r="F92" i="12"/>
  <c r="E79" i="7"/>
  <c r="E84" i="7"/>
  <c r="E16" i="37"/>
  <c r="J16" i="37"/>
  <c r="M26" i="15"/>
  <c r="H68" i="41"/>
  <c r="I27" i="42"/>
  <c r="I16" i="42"/>
  <c r="L29" i="42"/>
  <c r="E111" i="41"/>
  <c r="E115" i="41"/>
  <c r="E146" i="41"/>
  <c r="M18" i="37"/>
  <c r="G33" i="37"/>
  <c r="L33" i="37"/>
  <c r="M33" i="37"/>
  <c r="E51" i="42"/>
  <c r="L27" i="42"/>
  <c r="K38" i="42"/>
  <c r="L31" i="42"/>
  <c r="K16" i="42"/>
  <c r="F26" i="37"/>
  <c r="L16" i="42"/>
  <c r="E49" i="42"/>
  <c r="E53" i="42"/>
  <c r="E38" i="42"/>
  <c r="F28" i="37"/>
  <c r="L53" i="42"/>
  <c r="G28" i="37"/>
  <c r="I49" i="42"/>
  <c r="I38" i="42"/>
  <c r="L51" i="42"/>
  <c r="L49" i="42"/>
  <c r="G26" i="37"/>
  <c r="L38" i="42"/>
  <c r="G52" i="39"/>
  <c r="F46" i="37"/>
  <c r="K46" i="37"/>
  <c r="M17" i="15"/>
  <c r="M20" i="15"/>
  <c r="F20" i="15"/>
  <c r="E28" i="15"/>
  <c r="M28" i="15"/>
  <c r="G34" i="37"/>
  <c r="L34" i="37"/>
  <c r="F34" i="37"/>
  <c r="K34" i="37"/>
  <c r="M34" i="37"/>
  <c r="E31" i="15"/>
  <c r="M31" i="15"/>
  <c r="G44" i="37"/>
  <c r="L44" i="37"/>
  <c r="M44" i="37"/>
  <c r="F181" i="41"/>
  <c r="F178" i="41"/>
  <c r="H178" i="41"/>
  <c r="G94" i="9"/>
  <c r="F117" i="41"/>
  <c r="F126" i="41"/>
  <c r="F146" i="41"/>
  <c r="F164" i="41"/>
  <c r="H118" i="41"/>
  <c r="H117" i="41"/>
  <c r="G32" i="37"/>
  <c r="L32" i="37"/>
  <c r="M32" i="37"/>
  <c r="H46" i="41"/>
  <c r="H45" i="41"/>
  <c r="H50" i="41"/>
  <c r="F45" i="41"/>
  <c r="F50" i="41"/>
  <c r="E23" i="31"/>
  <c r="E20" i="29"/>
  <c r="H28" i="41"/>
  <c r="H26" i="41"/>
  <c r="F26" i="41"/>
  <c r="F39" i="41"/>
  <c r="F70" i="41"/>
  <c r="F148" i="41"/>
  <c r="E24" i="34"/>
  <c r="E25" i="34"/>
  <c r="E33" i="31"/>
  <c r="M46" i="37"/>
  <c r="F185" i="41"/>
  <c r="H185" i="41"/>
  <c r="H168" i="41"/>
  <c r="E148" i="41"/>
  <c r="E164" i="41"/>
  <c r="E166" i="41"/>
  <c r="E215" i="41"/>
  <c r="G49" i="7"/>
  <c r="G76" i="7"/>
  <c r="G79" i="7"/>
  <c r="G84" i="7"/>
  <c r="E40" i="34"/>
  <c r="E43" i="34"/>
  <c r="H115" i="41"/>
  <c r="E45" i="29"/>
  <c r="G54" i="37"/>
  <c r="G86" i="14"/>
  <c r="F86" i="14"/>
  <c r="F15" i="37"/>
  <c r="K15" i="37"/>
  <c r="F94" i="14"/>
  <c r="F79" i="7"/>
  <c r="F84" i="7"/>
  <c r="F16" i="37"/>
  <c r="K16" i="37"/>
  <c r="G16" i="12"/>
  <c r="G42" i="12"/>
  <c r="G92" i="12"/>
  <c r="F168" i="41"/>
  <c r="H16" i="12"/>
  <c r="H42" i="12"/>
  <c r="H92" i="12"/>
  <c r="G15" i="37"/>
  <c r="L15" i="37"/>
  <c r="P65" i="42"/>
  <c r="E45" i="34"/>
  <c r="E47" i="34"/>
  <c r="E53" i="34"/>
  <c r="E57" i="34"/>
  <c r="H126" i="41"/>
  <c r="H146" i="41"/>
  <c r="F82" i="41"/>
  <c r="F166" i="41"/>
  <c r="F23" i="31"/>
  <c r="E19" i="34"/>
  <c r="E21" i="34"/>
  <c r="E31" i="34"/>
  <c r="E35" i="34"/>
  <c r="H39" i="41"/>
  <c r="H70" i="41"/>
  <c r="F16" i="31"/>
  <c r="F24" i="31"/>
  <c r="F31" i="31"/>
  <c r="F33" i="31"/>
  <c r="F25" i="31"/>
  <c r="F17" i="31"/>
  <c r="F21" i="31"/>
  <c r="F28" i="31"/>
  <c r="F26" i="31"/>
  <c r="F30" i="31"/>
  <c r="F18" i="31"/>
  <c r="F29" i="31"/>
  <c r="F19" i="31"/>
  <c r="H164" i="41"/>
  <c r="G16" i="37"/>
  <c r="L16" i="37"/>
  <c r="M16" i="37"/>
  <c r="E216" i="41"/>
  <c r="E217" i="41"/>
  <c r="G58" i="37"/>
  <c r="L58" i="37"/>
  <c r="M58" i="37"/>
  <c r="E220" i="41"/>
  <c r="E61" i="34"/>
  <c r="O65" i="42"/>
  <c r="M15" i="37"/>
  <c r="G94" i="14"/>
  <c r="E59" i="34"/>
  <c r="E63" i="34"/>
  <c r="H82" i="41"/>
  <c r="H148" i="41"/>
  <c r="H166" i="41"/>
  <c r="E219" i="41"/>
  <c r="E221" i="41"/>
</calcChain>
</file>

<file path=xl/sharedStrings.xml><?xml version="1.0" encoding="utf-8"?>
<sst xmlns="http://schemas.openxmlformats.org/spreadsheetml/2006/main" count="2079" uniqueCount="1079">
  <si>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</si>
  <si>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</si>
  <si>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</si>
  <si>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</si>
  <si>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</si>
  <si>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</si>
  <si>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</si>
  <si>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</si>
  <si>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</si>
  <si>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</si>
  <si>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</si>
  <si>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</si>
  <si>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</si>
  <si>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</si>
  <si>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</si>
  <si>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</si>
  <si>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</si>
  <si>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</si>
  <si>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</si>
  <si>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</si>
  <si>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</si>
  <si>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</si>
  <si>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</si>
  <si>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</si>
  <si>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</si>
  <si>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</si>
  <si>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</si>
  <si>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</si>
  <si>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</si>
  <si>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</si>
  <si>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</si>
  <si>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</si>
  <si>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</si>
  <si>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</si>
  <si>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</si>
  <si>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</si>
  <si>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</si>
  <si>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</si>
  <si>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</si>
  <si>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</si>
  <si>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</si>
  <si>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</si>
  <si>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</si>
  <si>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</si>
  <si>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</si>
  <si>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</si>
  <si>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</si>
  <si>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</si>
  <si>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</si>
  <si>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</si>
  <si>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</si>
  <si>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</si>
  <si>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</si>
  <si>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</si>
  <si>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</si>
  <si>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</si>
  <si>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</si>
  <si>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</si>
  <si>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</si>
  <si>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</si>
  <si>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</si>
  <si>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</si>
  <si>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</si>
  <si>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</si>
  <si>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</si>
  <si>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</si>
  <si>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</si>
  <si>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</si>
  <si>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</si>
  <si>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</si>
  <si>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Presupuesto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</si>
  <si>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</si>
  <si>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</si>
  <si>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</si>
  <si>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</si>
  <si>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</si>
  <si>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</si>
  <si>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</si>
  <si>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</si>
  <si>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</si>
  <si>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</si>
  <si>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</si>
  <si>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</si>
  <si>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</si>
  <si>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</si>
  <si>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</si>
  <si>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</si>
  <si>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</si>
  <si>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</si>
  <si>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</si>
  <si>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</si>
  <si>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</si>
  <si>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</si>
  <si>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</si>
  <si>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</si>
  <si>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</si>
  <si>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</si>
  <si>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</si>
  <si>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</si>
  <si>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</si>
  <si>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</si>
  <si>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</si>
  <si>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</si>
  <si>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</si>
  <si>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</si>
  <si>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</si>
  <si>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</si>
  <si>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</si>
  <si>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</si>
  <si>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</si>
  <si>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</si>
  <si>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</si>
  <si>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</si>
  <si>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</si>
  <si>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</si>
  <si>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</si>
  <si>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</si>
  <si>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</si>
  <si>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</si>
  <si>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</si>
  <si>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</si>
  <si>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</si>
  <si>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</si>
  <si>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</si>
  <si>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</si>
  <si>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</si>
  <si>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</si>
  <si>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</si>
  <si>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</si>
  <si>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</si>
  <si>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</si>
  <si>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</si>
  <si>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</si>
  <si>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</si>
  <si>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</si>
  <si>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</si>
  <si>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</si>
  <si>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</si>
  <si>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</si>
  <si>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</si>
  <si>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</si>
  <si>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</si>
  <si>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</si>
  <si>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</si>
  <si>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</si>
  <si>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</si>
  <si>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</si>
  <si>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</si>
  <si>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</si>
  <si>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</si>
  <si>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</si>
  <si>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</si>
  <si>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</si>
  <si>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</si>
  <si>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</si>
  <si>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</si>
  <si>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</si>
  <si>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</si>
  <si>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</si>
  <si>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</si>
  <si>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</si>
  <si>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</si>
  <si>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</si>
  <si>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</si>
  <si>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</si>
  <si>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</si>
  <si>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</si>
  <si>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</si>
  <si>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</si>
  <si>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</si>
  <si>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</si>
  <si>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</si>
  <si>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</si>
  <si>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</si>
  <si>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</si>
  <si>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</si>
  <si>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</si>
  <si>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</si>
  <si>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</si>
  <si>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</si>
  <si>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</si>
  <si>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</si>
  <si>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</si>
  <si>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</si>
  <si>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</si>
  <si>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</si>
  <si>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</si>
  <si>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</si>
  <si>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</si>
  <si>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</si>
  <si>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</si>
  <si>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</si>
  <si>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</si>
  <si>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</si>
  <si>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</si>
  <si>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</si>
  <si>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</si>
  <si>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</si>
  <si>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</si>
  <si>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</si>
  <si>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</si>
  <si>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</si>
  <si>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</si>
  <si>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</si>
  <si>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</si>
  <si>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</si>
  <si>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</si>
  <si>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</si>
  <si>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</si>
  <si>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</si>
  <si>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</si>
  <si>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</si>
  <si>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</si>
  <si>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</si>
  <si>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</si>
  <si>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</si>
  <si>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</si>
  <si>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</si>
  <si>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</si>
  <si>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</si>
  <si>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</si>
  <si>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</si>
  <si>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</si>
  <si>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</si>
  <si>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</si>
  <si>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</si>
  <si>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</si>
  <si>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</si>
  <si>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</si>
  <si>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</si>
  <si>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</si>
  <si>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</si>
  <si>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</si>
  <si>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</si>
  <si>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</si>
  <si>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</si>
  <si>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</si>
  <si>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</si>
  <si>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</si>
  <si>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</si>
  <si>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</si>
  <si>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</si>
  <si>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</si>
  <si>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</si>
  <si>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</si>
  <si>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</si>
  <si>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</si>
  <si>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</si>
  <si>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</si>
  <si>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</si>
  <si>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</si>
  <si>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</si>
  <si>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</si>
  <si>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</si>
  <si>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</si>
  <si>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</si>
  <si>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</si>
  <si>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</si>
  <si>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</si>
  <si>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</si>
  <si>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</si>
  <si>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</si>
  <si>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</si>
  <si>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</si>
  <si>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</si>
  <si>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</si>
  <si>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</si>
  <si>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</si>
  <si>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</si>
  <si>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</si>
  <si>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</si>
  <si>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</si>
  <si>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</si>
  <si>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</si>
  <si>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</si>
  <si>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</si>
  <si>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</si>
  <si>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</si>
  <si>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</si>
  <si>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</si>
  <si>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</si>
  <si>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</si>
  <si>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</si>
  <si>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</si>
  <si>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</si>
  <si>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</si>
  <si>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</si>
  <si>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</si>
  <si>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</si>
  <si>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</si>
  <si>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</si>
  <si>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</si>
  <si>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</si>
  <si>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</si>
  <si>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</si>
  <si>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</si>
  <si>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</si>
  <si>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</si>
  <si>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</si>
  <si>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</si>
  <si>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</si>
  <si>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</si>
  <si>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</si>
  <si>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</si>
  <si>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</si>
  <si>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</si>
  <si>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</si>
  <si>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</si>
  <si>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</si>
  <si>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</si>
  <si>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</si>
  <si>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</si>
  <si>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</si>
  <si>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</si>
  <si>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</si>
  <si>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</si>
  <si>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</si>
  <si>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</si>
  <si>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</si>
  <si>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</si>
  <si>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</si>
  <si>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</si>
  <si>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</si>
  <si>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</si>
  <si>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</si>
  <si>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</si>
  <si>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</si>
  <si>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</si>
  <si>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</si>
  <si>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</si>
  <si>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</si>
  <si>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</si>
  <si>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</si>
  <si>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</si>
  <si>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</si>
  <si>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</si>
  <si>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</si>
  <si>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</si>
  <si>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</si>
  <si>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</si>
  <si>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</si>
  <si>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</si>
  <si>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</si>
  <si>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</si>
  <si>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</si>
  <si>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</si>
  <si>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</si>
  <si>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</si>
  <si>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</si>
  <si>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</si>
  <si>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</si>
  <si>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</si>
  <si>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</si>
  <si>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</si>
  <si>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</si>
  <si>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</si>
  <si>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</si>
  <si>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</si>
  <si>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</si>
  <si>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</si>
  <si>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</si>
  <si>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</si>
  <si>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</si>
  <si>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</si>
  <si>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</si>
  <si>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</si>
  <si>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</si>
  <si>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</si>
  <si>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</si>
  <si>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</si>
  <si>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</si>
  <si>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</si>
  <si>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</si>
  <si>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</si>
  <si>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</si>
  <si>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</si>
  <si>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</si>
  <si>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</si>
  <si>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</si>
  <si>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</si>
  <si>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</si>
  <si>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</si>
  <si>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</si>
  <si>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</si>
  <si>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</si>
  <si>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</si>
  <si>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</si>
  <si>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</si>
  <si>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</si>
  <si>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</si>
  <si>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</si>
  <si>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</si>
  <si>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</si>
  <si>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</si>
  <si>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</si>
  <si>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</si>
  <si>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</si>
  <si>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</si>
  <si>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</si>
  <si>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</si>
  <si>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</si>
  <si>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</si>
  <si>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</si>
  <si>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</si>
  <si>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</si>
  <si>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</si>
  <si>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</si>
  <si>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</si>
  <si>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</si>
  <si>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</si>
  <si>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</si>
  <si>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</si>
  <si>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</si>
  <si>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</si>
  <si>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</si>
  <si>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</si>
  <si>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</si>
  <si>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</si>
  <si>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</si>
  <si>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</si>
  <si>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</si>
  <si>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</si>
  <si>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</si>
  <si>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</si>
  <si>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</si>
  <si>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</si>
  <si>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</si>
  <si>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</si>
  <si>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</si>
  <si>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</si>
  <si>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</si>
  <si>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</si>
  <si>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</si>
  <si>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</si>
  <si>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</si>
  <si>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</si>
  <si>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</si>
  <si>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</si>
  <si>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</si>
  <si>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</si>
  <si>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</si>
  <si>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</si>
  <si>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</si>
  <si>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</si>
  <si>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</si>
  <si>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imputación de subvenciones al resultado del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</si>
  <si>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</si>
  <si>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</si>
  <si>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</si>
  <si>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</si>
  <si>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</si>
  <si>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</si>
  <si>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</si>
  <si>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</si>
  <si>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</si>
  <si>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</si>
  <si>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</si>
  <si>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</si>
  <si>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</si>
  <si>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</si>
  <si>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</si>
  <si>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</si>
  <si>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</si>
  <si>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</si>
  <si>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</si>
  <si>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</si>
  <si>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</si>
  <si>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</si>
  <si>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</si>
  <si>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</si>
  <si>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</si>
  <si>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</si>
  <si>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</si>
  <si>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</si>
  <si>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</si>
  <si>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</si>
  <si>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</si>
  <si>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</si>
  <si>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</si>
  <si>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</si>
  <si>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</si>
  <si>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</si>
  <si>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</si>
  <si>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</si>
  <si>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</si>
  <si>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</si>
  <si>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</si>
  <si>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</si>
  <si>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</si>
  <si>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</si>
  <si>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</si>
  <si>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</si>
  <si>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</si>
  <si>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</si>
  <si>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</si>
  <si>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</si>
  <si>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</si>
  <si>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</si>
  <si>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</si>
  <si>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</si>
  <si>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</si>
  <si>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</si>
  <si>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</si>
  <si>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</si>
  <si>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</si>
  <si>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</si>
  <si>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</si>
  <si>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</si>
  <si>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</si>
  <si>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</si>
  <si>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</si>
  <si>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</si>
  <si>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</si>
  <si>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</si>
  <si>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</si>
  <si>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</si>
  <si>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</si>
  <si>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</si>
  <si>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</si>
  <si>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</si>
  <si>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</si>
  <si>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</si>
  <si>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</si>
  <si>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</si>
  <si>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</si>
  <si>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</si>
  <si>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</si>
  <si>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</si>
  <si>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</si>
  <si>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</si>
  <si>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</si>
  <si>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</si>
  <si>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</si>
  <si>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</si>
  <si>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</si>
  <si>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</si>
  <si>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</si>
  <si>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</si>
  <si>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</si>
  <si>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</si>
  <si>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</si>
  <si>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</si>
  <si>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</si>
  <si>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</si>
  <si>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</si>
  <si>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</si>
  <si>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</si>
  <si>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</si>
  <si>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</si>
  <si>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</si>
  <si>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</si>
  <si>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</si>
  <si>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</si>
  <si>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</si>
  <si>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</si>
  <si>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</si>
  <si>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</si>
  <si>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</si>
  <si>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</si>
  <si>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</si>
  <si>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</si>
  <si>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</si>
  <si>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</si>
  <si>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</si>
  <si>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</si>
  <si>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</si>
  <si>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</si>
  <si>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</si>
  <si>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</si>
  <si>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</si>
  <si>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</si>
  <si>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</si>
  <si>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</si>
  <si>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</si>
  <si>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</si>
  <si>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</si>
  <si>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</si>
  <si>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</si>
  <si>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</si>
  <si>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</si>
  <si>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</si>
  <si>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</si>
  <si>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</si>
  <si>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</si>
  <si>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</si>
  <si>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</si>
  <si>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</si>
  <si>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</si>
  <si>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</si>
  <si>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</si>
  <si>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</si>
  <si>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</si>
  <si>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</si>
  <si>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</si>
  <si>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</si>
  <si>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</si>
  <si>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</si>
  <si>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</si>
  <si>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</si>
  <si>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</si>
  <si>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</si>
  <si>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</si>
  <si>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</si>
  <si>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</si>
  <si>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</si>
  <si>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</si>
  <si>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</si>
  <si>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</si>
  <si>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</si>
  <si>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</si>
  <si>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</si>
  <si>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</si>
  <si>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</si>
  <si>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</si>
  <si>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</si>
  <si>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</si>
  <si>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</si>
  <si>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</si>
  <si>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</si>
  <si>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</si>
  <si>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</si>
  <si>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</si>
  <si>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</si>
  <si>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</si>
  <si>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</si>
  <si>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</si>
  <si>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</si>
  <si>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</si>
  <si>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</si>
  <si>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</si>
  <si>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</si>
  <si>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</si>
  <si>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</si>
  <si>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</si>
  <si>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</si>
  <si>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</si>
  <si>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</si>
  <si>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</si>
  <si>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</si>
  <si>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</si>
  <si>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</si>
  <si>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</si>
  <si>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</si>
  <si>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</si>
  <si>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</si>
  <si>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</si>
  <si>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</si>
  <si>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</si>
  <si>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</si>
  <si>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</si>
  <si>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</si>
  <si>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</si>
  <si>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</si>
  <si>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</si>
  <si>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</si>
  <si>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</si>
  <si>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</si>
  <si>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</si>
  <si>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</si>
  <si>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</si>
  <si>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</si>
  <si>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</si>
  <si>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</si>
  <si>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</si>
  <si>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</si>
  <si>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</si>
  <si>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</si>
  <si>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</si>
  <si>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</si>
  <si>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</si>
  <si>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</si>
  <si>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</si>
  <si>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</si>
  <si>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</si>
  <si>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</si>
  <si>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</si>
  <si>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</si>
  <si>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</si>
  <si>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</si>
  <si>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</si>
  <si>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</si>
  <si>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</si>
  <si>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</si>
  <si>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</si>
  <si>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</si>
  <si>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</si>
  <si>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</si>
  <si>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</si>
  <si>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</si>
  <si>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</si>
  <si>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</si>
  <si>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</si>
  <si>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</si>
  <si>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</si>
  <si>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</si>
  <si>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</si>
  <si>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</si>
  <si>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</si>
  <si>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</si>
  <si>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</si>
  <si>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</si>
  <si>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</si>
  <si>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</si>
  <si>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</si>
  <si>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</si>
  <si>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</si>
  <si>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</si>
  <si>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</si>
  <si>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</si>
  <si>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</si>
  <si>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</si>
  <si>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</si>
  <si>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</si>
  <si>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</si>
  <si>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</si>
  <si>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Cabildo (2)</t>
  </si>
  <si>
    <t>Gastos de personal en PyG = desglose en FC-13</t>
  </si>
  <si>
    <t>DEUDAS A CORTO Y LARGO PLAZO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</si>
  <si>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</si>
  <si>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</si>
  <si>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</si>
  <si>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</si>
  <si>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</si>
  <si>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</si>
  <si>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</si>
  <si>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</si>
  <si>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</si>
  <si>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</si>
  <si>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</si>
  <si>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</si>
  <si>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</si>
  <si>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Variaciones producidas o previsibles en</t>
  </si>
  <si>
    <t xml:space="preserve">Datos a 31 de diciembre de </t>
  </si>
  <si>
    <t>Incremento en la participación (Euros)</t>
  </si>
  <si>
    <t>Reducciones en la participación (Euros)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</si>
  <si>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</si>
  <si>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</si>
  <si>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</si>
  <si>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</si>
  <si>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</si>
  <si>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</si>
  <si>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</si>
  <si>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</si>
  <si>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</si>
  <si>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</si>
  <si>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</si>
  <si>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</si>
  <si>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</si>
  <si>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</si>
  <si>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</si>
  <si>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</si>
  <si>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</si>
  <si>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</si>
  <si>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</si>
  <si>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</si>
  <si>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</si>
  <si>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</si>
  <si>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</si>
  <si>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</si>
  <si>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</si>
  <si>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</si>
  <si>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</si>
  <si>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</si>
  <si>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</si>
  <si>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</si>
  <si>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</si>
  <si>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</si>
  <si>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</si>
  <si>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</si>
  <si>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</si>
  <si>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</si>
  <si>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</si>
  <si>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</si>
  <si>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</si>
  <si>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</si>
  <si>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</si>
  <si>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t>B.1.- Ventas: (detallar)</t>
  </si>
  <si>
    <t>B.2.- Prestaciones de servicios: (detallar)</t>
  </si>
  <si>
    <t>C.1.1.- Ventas: (detallar)</t>
  </si>
  <si>
    <t>C.1.2.- Prestaciones de servicios: (detallar)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</si>
  <si>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</si>
  <si>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</si>
  <si>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theme="1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theme="1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</si>
  <si>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</si>
  <si>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</si>
  <si>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</si>
  <si>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</si>
  <si>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</si>
  <si>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</si>
  <si>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</si>
  <si>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</si>
  <si>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</si>
  <si>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</si>
  <si>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</si>
  <si>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</si>
  <si>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</si>
  <si>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</si>
  <si>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</si>
  <si>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</si>
  <si>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</si>
  <si>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</si>
  <si>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</si>
  <si>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</si>
  <si>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</si>
  <si>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</si>
  <si>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</si>
  <si>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</si>
  <si>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</si>
  <si>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</si>
  <si>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</si>
  <si>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</si>
  <si>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</si>
  <si>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</si>
  <si>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</si>
  <si>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</si>
  <si>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</si>
  <si>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</si>
  <si>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</si>
  <si>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</si>
  <si>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</si>
  <si>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</si>
  <si>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</si>
  <si>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</si>
  <si>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</si>
  <si>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Imputación de subvenciones capital en PyG (FC-3) = detalle de imputación en FC-9</t>
  </si>
  <si>
    <t>Cuenta 479</t>
  </si>
  <si>
    <t>Importe total concedido</t>
  </si>
  <si>
    <t>DATOS SEGÚN CRITERIOS ECIT</t>
  </si>
  <si>
    <t>y OTRAS ADM. PÚBLICAS (3)</t>
  </si>
  <si>
    <t>DATOS SEGÚN CRITERIOS DE CONTABILIDAD DE LA ENTIDAD (2)</t>
  </si>
  <si>
    <t>Ctas. 130-131-132</t>
  </si>
  <si>
    <t>I. OPERACIONES DE CRÉDITO A CORTO y LARGO PLAZO (1)</t>
  </si>
  <si>
    <t>II. OTROS PASIVOS FINANCIEROS A CORTO y LARGO PLAZO (1)</t>
  </si>
  <si>
    <t>otorgante</t>
  </si>
  <si>
    <t>III. DEUDAS CON EMPRESAS DEL GRUPO A CORTO Y LARGO PLAZO (1)</t>
  </si>
  <si>
    <t>(PyG)</t>
  </si>
  <si>
    <t>(Balance)</t>
  </si>
  <si>
    <t>A) 1. Importe neto de la cifra de negocios</t>
  </si>
  <si>
    <t>Otros ingresos de explotación. a.1. Resultados de operaciones en común.</t>
  </si>
  <si>
    <t>Otros ingresos de explotación. a. 3. Ingresos por comisiones, servicios al personal y servicios diversos</t>
  </si>
  <si>
    <t>Detalle de ingresos y gastos excepcionales. INGRESOS 778</t>
  </si>
  <si>
    <t>Anticipos</t>
  </si>
  <si>
    <t>5. b) Subvenciones de explotación incorporadas al resultado del ejercicio</t>
  </si>
  <si>
    <t>Total aportaciones de socios</t>
  </si>
  <si>
    <t>Otros ingresos de explotación. a. 2. Ingresos arrendamientos y propied. Industrial cedida explotación</t>
  </si>
  <si>
    <t>14. a) Ingresos financieros. De participaciones en instrumentos de patrimonio</t>
  </si>
  <si>
    <t>14. b) Ingresos financieros. De valores negociables y otros instrumentos financieros</t>
  </si>
  <si>
    <t>19. b) Otros ingresos y gastos de carácter financiero. Ingresos derivados de convenios de acreedores</t>
  </si>
  <si>
    <t>19. c) Otros ingresos y gastos de carácter financiero. Resto de ingresos y gastos</t>
  </si>
  <si>
    <t>Ventas de inmoviilizado e inversiones inmobiliarias (celda K31)</t>
  </si>
  <si>
    <t>Ojo, solo vincula la baja del coste, no la pérdida o beneficio</t>
  </si>
  <si>
    <t>Enajenaciones o reembolsos. Inversiones empresas grupo y asociadas. Inversiones inst. patrimonio (celda H25)</t>
  </si>
  <si>
    <t>Enajenaciones o reembolsos. Inversiones empresas grupo y asociadas. Resto inversiones (celda H34)</t>
  </si>
  <si>
    <t>Enajenaciones o reembolsos. Inversiones en otras empresas. Inversiones inst. patrimonio (celda H49)</t>
  </si>
  <si>
    <t>Enajenaciones o reembolsos. Inversiones en otras empresas. Resto inversiones (celda H58)</t>
  </si>
  <si>
    <t>Disposiciones de capital de obligaciones y otros valores negociables (A largo y a corto plazo)</t>
  </si>
  <si>
    <t>Disposiciones de capital de otros pasivos financieros (A largo y a corto plazo)</t>
  </si>
  <si>
    <t xml:space="preserve">Disposiciones de deudas con empresas del grupo a largo plazo y a corto plazo </t>
  </si>
  <si>
    <t>Disposiciones de deudas con características especiales a largo plazo y a corto plazo</t>
  </si>
  <si>
    <t xml:space="preserve">  TOTAL INGRESOS PRESUPUESTARIOS</t>
  </si>
  <si>
    <t>2. Variación de existencias de productos terminados y en curso de fabricación</t>
  </si>
  <si>
    <t>Si es &gt; 0</t>
  </si>
  <si>
    <t>3. Trabajos realizados por la empresas para su activo</t>
  </si>
  <si>
    <t>Ojo posible duplicidad con altas de inmovilizado</t>
  </si>
  <si>
    <t>9. Imputación de subvenciones de inmovilizado no financiero y otras</t>
  </si>
  <si>
    <t>10. Exceso de provisiones</t>
  </si>
  <si>
    <t>11.b) Deterioro y resultados. Resultados por enajenaciones y otras.</t>
  </si>
  <si>
    <t>12.  Diferencia negativa de combinaciones de negocio</t>
  </si>
  <si>
    <t>14. c) Imputación de subvenciones, donaciones y legados de carácter financiero</t>
  </si>
  <si>
    <t>16. Variación del valor razonable en instrumentos financieros</t>
  </si>
  <si>
    <t xml:space="preserve">  TOTAL INGRESOS (PRESUPUESTARIOS Y NO PRESUPUESTARIOS)</t>
  </si>
  <si>
    <t>6. Gastos de personal</t>
  </si>
  <si>
    <t>Ajustado de provisiones, en negativo (6.c) Provisiones)</t>
  </si>
  <si>
    <t>FC-3. FC-7</t>
  </si>
  <si>
    <t>4. Aprovisionamientos  -   Compras</t>
  </si>
  <si>
    <t>Ajustado de deterioro, en negativo (4.d) Deterioro de mercadería, materias primas, …)</t>
  </si>
  <si>
    <t>7. a) Servicios exteriores.</t>
  </si>
  <si>
    <t>7. b) Tributos</t>
  </si>
  <si>
    <t>7. d) Otros gastos de gestión corriente</t>
  </si>
  <si>
    <t>7. e) Gastos por emisión de gases de efecto invernadero</t>
  </si>
  <si>
    <t>20. Impuesto de beneficios</t>
  </si>
  <si>
    <t>Detalle de ingresos y gastos excepcionales. GASTOS 678</t>
  </si>
  <si>
    <t>Ajustado (en negativo), subvenciones concedidas y transferencias a realizar por la entidad</t>
  </si>
  <si>
    <t>Gastos imputados a reservas</t>
  </si>
  <si>
    <t>15. a). Gastos financieros. Por deudas con empresas del grupo y asociadas</t>
  </si>
  <si>
    <t>15. b). Gastos financieros. Por deudas con terceros</t>
  </si>
  <si>
    <t>19. a)  Incorporación al activo de gastos financieros</t>
  </si>
  <si>
    <t>Subvenciones concedidas y transferencias a realizar por la entidad</t>
  </si>
  <si>
    <t>Adquisiciones de inmovilizado e inversiones inmobiliarias (celda F31)</t>
  </si>
  <si>
    <t>Intereses capitalizados (celda H31)</t>
  </si>
  <si>
    <t>Reducción de capital</t>
  </si>
  <si>
    <t>Adquisiciones. Inversiones en otras empresas. Resto inversiones (celda H58)</t>
  </si>
  <si>
    <t>Amortizaciones de operaciones de cobertura</t>
  </si>
  <si>
    <t>Amortizaciones de capital de obligaciones y otros valores negociables (A largo y a corto plazo)</t>
  </si>
  <si>
    <t>Amortizaciones de capital de otros pasivos financieros (A largo y a corto plazo)</t>
  </si>
  <si>
    <t xml:space="preserve">Amortizaciones de deudas con empresas del grupo a largo plazo y a corto plazo </t>
  </si>
  <si>
    <t>Amortizaciones de deudas con características especiales a largo plazo y a corto plazo</t>
  </si>
  <si>
    <t xml:space="preserve">  TOTAL GASTOS PRESUPUESTARIOS</t>
  </si>
  <si>
    <t xml:space="preserve">  A. RESULTADO PRESUPUESTARIO (INGRESOS PRESUPUESTARIOS - GASTOS PRESUPUESTARIOS)</t>
  </si>
  <si>
    <t>Si es &lt; 0</t>
  </si>
  <si>
    <t>4.d) Deterioro de mercadería, materias primas, …</t>
  </si>
  <si>
    <t>6.c) Provisiones de personal</t>
  </si>
  <si>
    <t>7. c) Pérdidas, deterioro y variación de provisiones comerciales</t>
  </si>
  <si>
    <t>8) Amortización del inmovilizado</t>
  </si>
  <si>
    <t>11. a) Deterioro y resultado de enajenaciones de inmovilizado. Deterioro y pérdidas</t>
  </si>
  <si>
    <t>11. c) Deterioro y resultados por enajenaciones del inmovilizado de las sociedades holdings</t>
  </si>
  <si>
    <t>15. c) Gastos financieros. Por actualización de provisiones.</t>
  </si>
  <si>
    <t>17. Diferencias en cambio</t>
  </si>
  <si>
    <t>18. Deterioro y resultado por enajenaciones de instrumentos financieros</t>
  </si>
  <si>
    <t>Variaciones de BALANCE sin efecto en presupuesto</t>
  </si>
  <si>
    <t>Subvenciones donaciones y legados</t>
  </si>
  <si>
    <t xml:space="preserve">  B. RESULTADO TOTAL (PRESUPUESTARIO Y NO PRESUPUESTARIO)</t>
  </si>
  <si>
    <t>PRESUPUESTO</t>
  </si>
  <si>
    <t>TOTAL GASTOS PRESUPUESTARIOS Y NO PRESUPUESTARIOS</t>
  </si>
  <si>
    <t>Ajuste (Manual)</t>
  </si>
  <si>
    <t>Comentario ajuste manual</t>
  </si>
  <si>
    <t>Subvenciones de capital concedidas. (celda I31)</t>
  </si>
  <si>
    <t>Disposiciones de capital de operaciones de crédito (celda M42)</t>
  </si>
  <si>
    <t>(1) Ventas y Prestaciones de Servicios. Detallar la cifra del Importe Neto de la Cifra de Negocios de la Cuenta de Pérdidas y Ganancias</t>
  </si>
  <si>
    <t>Adquisiciones. Inversiones empresas grupo y asociadas. Inversiones inst. patrimonio (celda G25)</t>
  </si>
  <si>
    <t>Adquisiciones. Inversiones empresas grupo y asociadas. Resto inversiones (celda G34)</t>
  </si>
  <si>
    <t>Adquisiciones. Inversiones en otras empresas. Inversiones inst. patrimonio (celda G49)</t>
  </si>
  <si>
    <t>Amortizaciones de capital de operaciones de crédito (celda N43)</t>
  </si>
  <si>
    <t>Disposiciones de operaciones de cobertura</t>
  </si>
  <si>
    <t>(+/-)Provisión por desmantelamiento</t>
  </si>
  <si>
    <t xml:space="preserve">(-)Amortización del ejercicio </t>
  </si>
  <si>
    <t xml:space="preserve">(+/-)Deterioro o Reversión del deterioro </t>
  </si>
  <si>
    <t xml:space="preserve">(+/-) Otras variaciones (especificar en observaciones) </t>
  </si>
  <si>
    <t>Variación del activo corriente sin inversiones financieras a C/P</t>
  </si>
  <si>
    <t>Variación deudas comerciales no corrientes</t>
  </si>
  <si>
    <t>Variación del pasivo corriente - no corriente</t>
  </si>
  <si>
    <t>Variación del patrimonio neto</t>
  </si>
  <si>
    <t>Variación activos no corrientes mantenidos para la venta</t>
  </si>
  <si>
    <t>Variación de Existencias</t>
  </si>
  <si>
    <t>Variación de deudores comerciales y otras cuentas a cobrar</t>
  </si>
  <si>
    <t>Variación de periodificaciones a corto plazo</t>
  </si>
  <si>
    <t>Variación de Efectivo y otros activos liquidos equivalentes</t>
  </si>
  <si>
    <t>Variación de pasivos por impuesto diferido</t>
  </si>
  <si>
    <t>FC-4 ACTIVO</t>
  </si>
  <si>
    <t>FC-4 PASIVO</t>
  </si>
  <si>
    <t>Variación de periodificaciones a largo plazo</t>
  </si>
  <si>
    <t>Variación de acreedores comerciales y otras cuentas a pagar</t>
  </si>
  <si>
    <r>
      <t xml:space="preserve">Deuda ent. Crédito + arrend. Financ. </t>
    </r>
    <r>
      <rPr>
        <sz val="12"/>
        <color theme="1"/>
        <rFont val="Arial"/>
        <family val="2"/>
      </rPr>
      <t xml:space="preserve">Largo Plazo </t>
    </r>
    <r>
      <rPr>
        <sz val="12"/>
        <color theme="1"/>
        <rFont val="Arial"/>
        <family val="2"/>
      </rPr>
      <t>en FC-4 PASIVO = desglose en FC-10</t>
    </r>
  </si>
  <si>
    <r>
      <t xml:space="preserve">Deuda ent. Crédito + arrend. Financ. Corto Plazo </t>
    </r>
    <r>
      <rPr>
        <sz val="12"/>
        <color theme="1"/>
        <rFont val="Arial"/>
        <family val="2"/>
      </rPr>
      <t>en FC-4 PASIVO = desglose en FC-10</t>
    </r>
  </si>
  <si>
    <t>COMPROBACIONES</t>
  </si>
  <si>
    <t>De la cuenta de pérdidas y ganancias</t>
  </si>
  <si>
    <t>Resultado de la cuenta de pérdidas y ganancias (FC-3)</t>
  </si>
  <si>
    <t>Total resultado presupuestario y no presupuestario</t>
  </si>
  <si>
    <t>Variaciones en balance sin efecto presupuestario</t>
  </si>
  <si>
    <r>
      <t>Resultado de PyG = Resultado FC-9</t>
    </r>
    <r>
      <rPr>
        <sz val="12"/>
        <color theme="1"/>
        <rFont val="Arial"/>
        <family val="2"/>
      </rPr>
      <t>0-DETALLE</t>
    </r>
  </si>
  <si>
    <t>E_SI</t>
  </si>
  <si>
    <t>E_ID</t>
  </si>
  <si>
    <t xml:space="preserve">a) ACCIONISTAS </t>
  </si>
  <si>
    <t>(1) Valor nominal de una acción o participación</t>
  </si>
  <si>
    <t>(2) Valor teórico por acción o participación. Patrimonio neto a fin del ejercicio / nº de acciones o participaciones que componen el capital social</t>
  </si>
  <si>
    <t>Valor Nominal (1)</t>
  </si>
  <si>
    <t>Valor Teórico (2)</t>
  </si>
  <si>
    <t xml:space="preserve">  Modelo:</t>
  </si>
  <si>
    <t>Normal</t>
  </si>
  <si>
    <t>Abreviado / PyMES</t>
  </si>
  <si>
    <r>
      <t>Total s</t>
    </r>
    <r>
      <rPr>
        <sz val="12"/>
        <color theme="1"/>
        <rFont val="Arial"/>
        <family val="2"/>
      </rPr>
      <t>ubvenciones capital</t>
    </r>
    <r>
      <rPr>
        <sz val="12"/>
        <color theme="1"/>
        <rFont val="Arial"/>
        <family val="2"/>
      </rPr>
      <t xml:space="preserve"> concedidas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= </t>
    </r>
    <r>
      <rPr>
        <sz val="12"/>
        <color theme="1"/>
        <rFont val="Arial"/>
        <family val="2"/>
      </rPr>
      <t>desglose 130-131-132 + desglose 479 en FC-9</t>
    </r>
  </si>
  <si>
    <r>
      <t xml:space="preserve">               Otros pasivos financieros a largo plazo </t>
    </r>
    <r>
      <rPr>
        <b/>
        <sz val="10"/>
        <color theme="1"/>
        <rFont val="Arial"/>
        <family val="2"/>
      </rPr>
      <t>( B) II. 5. )</t>
    </r>
    <r>
      <rPr>
        <sz val="10"/>
        <color theme="1"/>
        <rFont val="Arial"/>
        <family val="2"/>
      </rPr>
      <t xml:space="preserve">  y a corto plazo</t>
    </r>
    <r>
      <rPr>
        <b/>
        <sz val="10"/>
        <color theme="1"/>
        <rFont val="Arial"/>
        <family val="2"/>
      </rPr>
      <t xml:space="preserve"> ( C) III. 5. )</t>
    </r>
    <r>
      <rPr>
        <sz val="10"/>
        <color theme="1"/>
        <rFont val="Arial"/>
        <family val="2"/>
      </rPr>
      <t>, y  deudas con empresas del grupo y asociadas a largo plazo</t>
    </r>
    <r>
      <rPr>
        <b/>
        <sz val="10"/>
        <color theme="1"/>
        <rFont val="Arial"/>
        <family val="2"/>
      </rPr>
      <t xml:space="preserve"> ( B) III. ) </t>
    </r>
    <r>
      <rPr>
        <sz val="10"/>
        <color theme="1"/>
        <rFont val="Arial"/>
        <family val="2"/>
      </rPr>
      <t xml:space="preserve">y a corto plazo </t>
    </r>
    <r>
      <rPr>
        <b/>
        <sz val="10"/>
        <color theme="1"/>
        <rFont val="Arial"/>
        <family val="2"/>
      </rPr>
      <t>( C)  IV. )</t>
    </r>
  </si>
  <si>
    <r>
      <t xml:space="preserve">(1) Se desglosarán todas las operaciones, existentes y previstas, estén o no avaladas por el Cabildo Insular de Tenerife. Desglose epígrafes Pasivo del Balance de Situación: Deudas con entidades de crédito a largo plazo y arrendamientos financieros (  </t>
    </r>
    <r>
      <rPr>
        <b/>
        <sz val="10"/>
        <color theme="1"/>
        <rFont val="Arial"/>
        <family val="2"/>
      </rPr>
      <t>B) II.2. - B) II.3. )</t>
    </r>
    <r>
      <rPr>
        <sz val="10"/>
        <color theme="1"/>
        <rFont val="Arial"/>
        <family val="2"/>
      </rPr>
      <t xml:space="preserve"> y a corto plazo</t>
    </r>
    <r>
      <rPr>
        <b/>
        <sz val="10"/>
        <color theme="1"/>
        <rFont val="Arial"/>
        <family val="2"/>
      </rPr>
      <t xml:space="preserve"> (  C) III.2  C) III.3.  )</t>
    </r>
    <r>
      <rPr>
        <sz val="10"/>
        <color theme="1"/>
        <rFont val="Arial"/>
        <family val="2"/>
      </rPr>
      <t xml:space="preserve">, </t>
    </r>
  </si>
  <si>
    <t>Otros pasivos financieros a corto plazo en FC-4-PASIVO = desglose en FC-10</t>
  </si>
  <si>
    <t>Otros pasivos financieros a largo plazo en FC-4-PASIVO = desglose en FC-10</t>
  </si>
  <si>
    <t>Deudas con empresas del grupo y asociadas a largo plazo en FC-4 PASIVO = desglose en FC-10</t>
  </si>
  <si>
    <t>Deudas con empresas del grupo y asociadas a corto plazo en FC-4 PASIVO = desglose en FC-10</t>
  </si>
  <si>
    <t>Introducir manualmente, en PAIF plantilla no está incluido</t>
  </si>
  <si>
    <t>Introducir manualmente, efecto de anticipos significativos en la entidad que sea aplicable</t>
  </si>
  <si>
    <t>El dato formulado no son compras, incluye variación existencias</t>
  </si>
  <si>
    <t>FC-90_Detalle</t>
  </si>
  <si>
    <t>Otras variaciones (detallar)</t>
  </si>
  <si>
    <r>
      <rPr>
        <sz val="12"/>
        <color theme="1"/>
        <rFont val="Arial"/>
        <family val="2"/>
      </rPr>
      <t xml:space="preserve">Deudas entidades crédito </t>
    </r>
    <r>
      <rPr>
        <sz val="12"/>
        <color theme="1"/>
        <rFont val="Arial"/>
        <family val="2"/>
      </rPr>
      <t>Clasificación CP+LP = Total deuda a 31-12-2018 en FC-10</t>
    </r>
  </si>
  <si>
    <r>
      <t xml:space="preserve">Otros pasivos financieros </t>
    </r>
    <r>
      <rPr>
        <sz val="12"/>
        <color theme="1"/>
        <rFont val="Arial"/>
        <family val="2"/>
      </rPr>
      <t>Clasificación CP+LP = Total deuda a 31-12-2018 en FC-10</t>
    </r>
  </si>
  <si>
    <r>
      <t xml:space="preserve">Deudas empresas grupo </t>
    </r>
    <r>
      <rPr>
        <sz val="12"/>
        <color theme="1"/>
        <rFont val="Arial"/>
        <family val="2"/>
      </rPr>
      <t>Clasificación CP+LP = Total deuda a 31-12-2018 en FC-10</t>
    </r>
  </si>
  <si>
    <t>MOVIMIENTO DE FONDOS PROPIOS</t>
  </si>
  <si>
    <t>Aumento</t>
  </si>
  <si>
    <t>Disminución</t>
  </si>
  <si>
    <t>Resultado</t>
  </si>
  <si>
    <t>Aportaciones Socios</t>
  </si>
  <si>
    <t>Distribución de</t>
  </si>
  <si>
    <t>Gastos/Ingresos</t>
  </si>
  <si>
    <t>Saldo final 31-12</t>
  </si>
  <si>
    <t xml:space="preserve">    MOVIMIENTO DE FONDOS PROPIOS</t>
  </si>
  <si>
    <t>FC-4.1 -MOVIMIENTO DE FONDOS PROPIOS</t>
  </si>
  <si>
    <t>cargo/abono a reservas</t>
  </si>
  <si>
    <t>Capital en FC-4 PASIVO = Movimiento de Fondos Propios en FC-4.1</t>
  </si>
  <si>
    <t>Prima de emisión en FC-4 PASIVO = Movimiento de Fondos Propios en FC-4.1</t>
  </si>
  <si>
    <t>Reservas en FC-4 PASIVO = Movimiento de Fondos Propios en FC-4.1</t>
  </si>
  <si>
    <t>Acciones y participaciones en patrimonio propias en FC-4 PASIVO = Movimiento de Fondos Propios en FC-4.1</t>
  </si>
  <si>
    <t>Resultado de ejercicios anteriores en FC-4 PASIVO = Movimiento de Fondos Propios en FC-4.1</t>
  </si>
  <si>
    <t>Otras aportaciones de socios en FC-4 PASIVO = Movimiento de Fondos Propios en FC-4.1</t>
  </si>
  <si>
    <t>Resultado del ejercicio en FC-4 PASIVO = Movimiento de Fondos Propios en FC-4.1</t>
  </si>
  <si>
    <t>Dividendo a cuenta en FC-4 PASIVO = Movimiento de Fondos Propios en FC-4.1</t>
  </si>
  <si>
    <t>Otros instrumentos de patrimonio en FC-4 PASIVO = Movimiento de Fondos Propios en FC-4.1</t>
  </si>
  <si>
    <r>
      <t>Aumentos en A</t>
    </r>
    <r>
      <rPr>
        <sz val="12"/>
        <color theme="1"/>
        <rFont val="Arial"/>
        <family val="2"/>
      </rPr>
      <t>portaciones socios en FC-4</t>
    </r>
    <r>
      <rPr>
        <sz val="12"/>
        <color theme="1"/>
        <rFont val="Arial"/>
        <family val="2"/>
      </rPr>
      <t>.1 Movimiento Fondos Propios</t>
    </r>
    <r>
      <rPr>
        <sz val="12"/>
        <color theme="1"/>
        <rFont val="Arial"/>
        <family val="2"/>
      </rPr>
      <t xml:space="preserve"> = detalle en FC-9</t>
    </r>
  </si>
  <si>
    <t>Variación de las Provisiones a largo plazo</t>
  </si>
  <si>
    <t>Variación de las Provisiones a corto plazo</t>
  </si>
  <si>
    <t>FC-4.1</t>
  </si>
  <si>
    <t xml:space="preserve">Emisión de instrumentos de patrimonio </t>
  </si>
  <si>
    <t>Variación de las Periodificaciones a corto plazo</t>
  </si>
  <si>
    <t>CORREGIR EN PLANTILLA PAIF</t>
  </si>
  <si>
    <t>INTRODUCCIÓN FORMULADA TRAS ANÁLISIS DE MOVIMIENTOS</t>
  </si>
  <si>
    <t>(Aportación de socios)</t>
  </si>
  <si>
    <t>Rtdo. Ejercicio</t>
  </si>
  <si>
    <t>y otras Variaciones</t>
  </si>
  <si>
    <t>Notas explicativas</t>
  </si>
  <si>
    <t>Concedido (4)</t>
  </si>
  <si>
    <r>
      <rPr>
        <b/>
        <sz val="11"/>
        <color theme="1"/>
        <rFont val="Arial"/>
        <family val="2"/>
      </rPr>
      <t>Capital Amort.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indexed="206"/>
        <rFont val="Arial"/>
        <family val="2"/>
      </rPr>
      <t>(5)</t>
    </r>
  </si>
  <si>
    <t>Intereses (6)</t>
  </si>
  <si>
    <t>Otros gastos financieros(7)</t>
  </si>
  <si>
    <t>Clasificación (8)</t>
  </si>
  <si>
    <t>(4) Importe concedido en el momento de la formalización de la operación.</t>
  </si>
  <si>
    <r>
      <t xml:space="preserve">(5)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</si>
  <si>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 xml:space="preserve">(6) Intereses devengados en el ejercicio. </t>
  </si>
  <si>
    <t>(7) Otros gastos financieros relacionados con la operación, por ejemplo, gastos de avales, gastos de formalización, etc.</t>
  </si>
  <si>
    <t>(8) Desglose del saldo a fin de ejercicio entre lo que vence a corto plazo (1 año) y lo que vence a largo plazo (más de un año)</t>
  </si>
  <si>
    <t xml:space="preserve">  A. DIFERENCIA INGRESOS - GASTOS</t>
  </si>
  <si>
    <t xml:space="preserve">  B. Ajuste VARIACIONES DE BALANCE</t>
  </si>
  <si>
    <t>RESULTADO DE LA COMPROBACIÓN  ( A + B )</t>
  </si>
  <si>
    <t>Celda no formulada (rellenar a mano por la entidad)</t>
  </si>
  <si>
    <t>Jose Luis Rivero Plasencia</t>
  </si>
  <si>
    <t>Domingo Jesus Hernandez Hernandez</t>
  </si>
  <si>
    <t>Amaya Conde Martinez</t>
  </si>
  <si>
    <t>Virgilio Gutierrez Herreros</t>
  </si>
  <si>
    <t>Coromoto Yanes Gonzalez</t>
  </si>
  <si>
    <t>Pedro J. Suarez Lopez de Vergara</t>
  </si>
  <si>
    <t>Antonio Garica Marichal</t>
  </si>
  <si>
    <t>Maria Isabel Navarro Segura</t>
  </si>
  <si>
    <t>Julio Concepcion Perez</t>
  </si>
  <si>
    <t>Jeronimo Cabrera Romero</t>
  </si>
  <si>
    <t>Reintegro subvencion audivisuales</t>
  </si>
  <si>
    <t>un receptor de una subvencion para realizar un audivisual devolvió el importe concedido</t>
  </si>
  <si>
    <t>TEA TENERIFE ESPACIO DE LAS ARTES</t>
  </si>
  <si>
    <t>BIBLIOTECA</t>
  </si>
  <si>
    <t>COLECCIÓN FOTOGRAFIA</t>
  </si>
  <si>
    <t>PROYECTOS EDUCATIVOS</t>
  </si>
  <si>
    <t>DIRECCION ARTISTICA</t>
  </si>
  <si>
    <t>ESPACIO TEA LA LAGUNA</t>
  </si>
  <si>
    <t>PROD. CREACION AUDIVISUAL</t>
  </si>
  <si>
    <t>PROD. ACTIVIDADES</t>
  </si>
  <si>
    <t>ESPACIO P. HISTORICO</t>
  </si>
  <si>
    <t>ESPACIO  CULTURA</t>
  </si>
  <si>
    <t>EXCMO. CABILDO INSULAR TFE.</t>
  </si>
  <si>
    <t>TEA, REPARACIONES INSTALACIONES</t>
  </si>
  <si>
    <t>GOBIERNO DE CANADA</t>
  </si>
  <si>
    <t>CANADA</t>
  </si>
  <si>
    <t>APORTACION GENERICA</t>
  </si>
  <si>
    <t>EXCMO CABILDO INSULAR DE TENERIFE</t>
  </si>
  <si>
    <t>ANTICIPO DE PROVEEDORES</t>
  </si>
  <si>
    <t>ADQUISICION OBRAS DE ARTE</t>
  </si>
  <si>
    <t>FIANZA COLECCIÓN FOTOGRAFIA</t>
  </si>
  <si>
    <t>FIANZA UNELCO</t>
  </si>
  <si>
    <t>FIANZA AGUAS DE VILAFLOR</t>
  </si>
  <si>
    <t>NO</t>
  </si>
  <si>
    <t>FIANZA</t>
  </si>
  <si>
    <t>CAFETERIA</t>
  </si>
  <si>
    <t>CANARIAS CONTROL RADIOLECTRICO</t>
  </si>
  <si>
    <t>BASURA AYTO STA CRUZ PRESCRITA</t>
  </si>
  <si>
    <t>Equipamiento informático</t>
  </si>
  <si>
    <t>Reforma edificio</t>
  </si>
  <si>
    <t>Redorma Edificios</t>
  </si>
  <si>
    <t>Equipamiento informatico</t>
  </si>
  <si>
    <t>Adquisicion obras de arte</t>
  </si>
  <si>
    <t>P38000001D</t>
  </si>
  <si>
    <t>EXCNO CABILDO INSULAR DE TENERIFE</t>
  </si>
  <si>
    <t>CANAUDIT S.L.</t>
  </si>
  <si>
    <t xml:space="preserve">PREMIO DE JUBILACION </t>
  </si>
  <si>
    <t xml:space="preserve"> DEUDA IDECO CANCELADA</t>
  </si>
  <si>
    <t>0731</t>
  </si>
  <si>
    <t>3331</t>
  </si>
  <si>
    <t>44981</t>
  </si>
  <si>
    <t>0711</t>
  </si>
  <si>
    <t>9261</t>
  </si>
  <si>
    <t>74301</t>
  </si>
  <si>
    <t>0721</t>
  </si>
  <si>
    <t>3272</t>
  </si>
  <si>
    <t>1003</t>
  </si>
  <si>
    <t>3302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</si>
</sst>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dd\-mm\-yy;@"/>
  </numFmts>
  <fonts count="70">
    <font>
      <sz val="12"/>
      <color theme="1"/>
      <name val="Helvetica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b/>
      <sz val="12"/>
      <color theme="0" tint="-0.34998626667073579"/>
      <name val="Arial"/>
      <family val="2"/>
    </font>
    <font>
      <sz val="18"/>
      <color theme="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00B050"/>
      <name val="Arial"/>
      <family val="2"/>
    </font>
    <font>
      <sz val="12"/>
      <color rgb="FF00B050"/>
      <name val="Arial"/>
      <family val="2"/>
    </font>
    <font>
      <b/>
      <sz val="16"/>
      <color rgb="FF000000"/>
      <name val="Arial"/>
      <family val="2"/>
    </font>
    <font>
      <sz val="12"/>
      <color rgb="FF0070C0"/>
      <name val="Arial"/>
      <family val="2"/>
    </font>
    <font>
      <sz val="12"/>
      <color theme="9"/>
      <name val="Arial"/>
      <family val="2"/>
    </font>
    <font>
      <sz val="11"/>
      <color theme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206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/>
      <right style="medium">
        <color theme="0" tint="-0.249977111117893"/>
      </right>
      <top/>
      <bottom style="hair">
        <color theme="0" tint="-0.249977111117893"/>
      </bottom>
      <diagonal/>
    </border>
    <border>
      <left/>
      <right style="medium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medium">
        <color theme="0" tint="-0.249977111117893"/>
      </right>
      <top style="hair">
        <color theme="0" tint="-0.249977111117893"/>
      </top>
      <bottom/>
      <diagonal/>
    </border>
    <border>
      <left/>
      <right style="medium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249977111117893"/>
      </left>
      <right style="thin">
        <color theme="0" tint="-0.249977111117893"/>
      </right>
      <top/>
      <bottom/>
      <diagonal/>
    </border>
    <border>
      <left style="thick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</borders>
  <cellStyleXfs count="116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9">
    <xf numFmtId="0" fontId="0" fillId="0" borderId="0" xfId="0"/>
    <xf numFmtId="0" fontId="12" fillId="2" borderId="0" xfId="0" applyFont="1" applyFill="1"/>
    <xf numFmtId="0" fontId="13" fillId="2" borderId="0" xfId="0" applyFont="1" applyFill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Alignment="1">
      <alignment horizontal="center"/>
    </xf>
    <xf numFmtId="0" fontId="15" fillId="5" borderId="0" xfId="0" applyFont="1" applyFill="1" applyAlignment="1">
      <alignment vertical="center"/>
    </xf>
    <xf numFmtId="0" fontId="12" fillId="2" borderId="1" xfId="0" applyFont="1" applyFill="1" applyBorder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/>
    <xf numFmtId="0" fontId="1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/>
    <xf numFmtId="0" fontId="23" fillId="2" borderId="10" xfId="0" applyFont="1" applyFill="1" applyBorder="1"/>
    <xf numFmtId="0" fontId="24" fillId="2" borderId="0" xfId="0" applyFont="1" applyFill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23" fillId="3" borderId="0" xfId="0" applyFont="1" applyFill="1"/>
    <xf numFmtId="0" fontId="12" fillId="2" borderId="21" xfId="0" applyFont="1" applyFill="1" applyBorder="1" applyAlignment="1">
      <alignment horizontal="center"/>
    </xf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27" fillId="2" borderId="0" xfId="0" applyFont="1" applyFill="1"/>
    <xf numFmtId="4" fontId="23" fillId="2" borderId="0" xfId="0" applyNumberFormat="1" applyFont="1" applyFill="1"/>
    <xf numFmtId="4" fontId="23" fillId="2" borderId="7" xfId="0" applyNumberFormat="1" applyFont="1" applyFill="1" applyBorder="1"/>
    <xf numFmtId="4" fontId="24" fillId="2" borderId="0" xfId="0" applyNumberFormat="1" applyFont="1" applyFill="1" applyAlignment="1">
      <alignment horizontal="center" vertical="center"/>
    </xf>
    <xf numFmtId="4" fontId="15" fillId="5" borderId="0" xfId="0" applyNumberFormat="1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23" fillId="2" borderId="12" xfId="0" applyNumberFormat="1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Alignment="1">
      <alignment horizontal="left" vertical="center"/>
    </xf>
    <xf numFmtId="4" fontId="15" fillId="5" borderId="0" xfId="0" applyNumberFormat="1" applyFont="1" applyFill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4" fontId="12" fillId="2" borderId="0" xfId="0" applyNumberFormat="1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" fontId="17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4" fontId="37" fillId="2" borderId="0" xfId="0" applyNumberFormat="1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" fontId="12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/>
    <xf numFmtId="4" fontId="12" fillId="2" borderId="75" xfId="0" applyNumberFormat="1" applyFont="1" applyFill="1" applyBorder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4" fontId="12" fillId="2" borderId="15" xfId="0" applyNumberFormat="1" applyFont="1" applyFill="1" applyBorder="1"/>
    <xf numFmtId="4" fontId="8" fillId="2" borderId="0" xfId="0" applyNumberFormat="1" applyFont="1" applyFill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41" fillId="6" borderId="0" xfId="0" applyFont="1" applyFill="1" applyAlignment="1">
      <alignment horizontal="left"/>
    </xf>
    <xf numFmtId="4" fontId="41" fillId="6" borderId="0" xfId="0" applyNumberFormat="1" applyFont="1" applyFill="1"/>
    <xf numFmtId="0" fontId="8" fillId="2" borderId="0" xfId="0" applyFont="1" applyFill="1" applyAlignment="1">
      <alignment vertical="center"/>
    </xf>
    <xf numFmtId="0" fontId="9" fillId="2" borderId="48" xfId="0" applyFont="1" applyFill="1" applyBorder="1"/>
    <xf numFmtId="4" fontId="23" fillId="2" borderId="124" xfId="0" applyNumberFormat="1" applyFont="1" applyFill="1" applyBorder="1"/>
    <xf numFmtId="4" fontId="26" fillId="2" borderId="125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26" xfId="0" applyNumberFormat="1" applyFont="1" applyFill="1" applyBorder="1"/>
    <xf numFmtId="0" fontId="26" fillId="3" borderId="127" xfId="0" applyFont="1" applyFill="1" applyBorder="1" applyAlignment="1">
      <alignment horizontal="center"/>
    </xf>
    <xf numFmtId="0" fontId="23" fillId="2" borderId="127" xfId="0" applyFont="1" applyFill="1" applyBorder="1"/>
    <xf numFmtId="4" fontId="15" fillId="2" borderId="128" xfId="0" applyNumberFormat="1" applyFont="1" applyFill="1" applyBorder="1"/>
    <xf numFmtId="4" fontId="12" fillId="2" borderId="128" xfId="0" applyNumberFormat="1" applyFont="1" applyFill="1" applyBorder="1"/>
    <xf numFmtId="4" fontId="9" fillId="2" borderId="130" xfId="0" applyNumberFormat="1" applyFont="1" applyFill="1" applyBorder="1"/>
    <xf numFmtId="4" fontId="23" fillId="2" borderId="127" xfId="0" applyNumberFormat="1" applyFont="1" applyFill="1" applyBorder="1"/>
    <xf numFmtId="4" fontId="26" fillId="2" borderId="131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2" xfId="0" applyFont="1" applyFill="1" applyBorder="1" applyAlignment="1">
      <alignment horizontal="center"/>
    </xf>
    <xf numFmtId="0" fontId="12" fillId="3" borderId="133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4" xfId="0" applyFont="1" applyFill="1" applyBorder="1" applyAlignment="1">
      <alignment horizontal="center"/>
    </xf>
    <xf numFmtId="4" fontId="15" fillId="2" borderId="135" xfId="0" applyNumberFormat="1" applyFont="1" applyFill="1" applyBorder="1"/>
    <xf numFmtId="0" fontId="12" fillId="2" borderId="134" xfId="0" applyFont="1" applyFill="1" applyBorder="1" applyAlignment="1">
      <alignment horizontal="center"/>
    </xf>
    <xf numFmtId="4" fontId="12" fillId="2" borderId="135" xfId="0" applyNumberFormat="1" applyFont="1" applyFill="1" applyBorder="1"/>
    <xf numFmtId="0" fontId="9" fillId="2" borderId="136" xfId="0" applyFont="1" applyFill="1" applyBorder="1" applyAlignment="1">
      <alignment horizontal="center"/>
    </xf>
    <xf numFmtId="0" fontId="9" fillId="2" borderId="138" xfId="0" applyFont="1" applyFill="1" applyBorder="1" applyAlignment="1">
      <alignment horizontal="center"/>
    </xf>
    <xf numFmtId="4" fontId="9" fillId="2" borderId="139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0" xfId="0" applyFont="1" applyFill="1" applyBorder="1" applyAlignment="1">
      <alignment horizontal="center"/>
    </xf>
    <xf numFmtId="0" fontId="9" fillId="2" borderId="141" xfId="0" applyFont="1" applyFill="1" applyBorder="1"/>
    <xf numFmtId="0" fontId="26" fillId="2" borderId="145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46" xfId="0" applyFont="1" applyFill="1" applyBorder="1" applyAlignment="1">
      <alignment horizontal="center"/>
    </xf>
    <xf numFmtId="0" fontId="15" fillId="2" borderId="147" xfId="0" applyFont="1" applyFill="1" applyBorder="1" applyAlignment="1">
      <alignment horizontal="center"/>
    </xf>
    <xf numFmtId="2" fontId="9" fillId="2" borderId="148" xfId="0" applyNumberFormat="1" applyFont="1" applyFill="1" applyBorder="1" applyAlignment="1">
      <alignment horizontal="center"/>
    </xf>
    <xf numFmtId="0" fontId="15" fillId="2" borderId="145" xfId="0" applyFont="1" applyFill="1" applyBorder="1" applyAlignment="1">
      <alignment horizontal="center"/>
    </xf>
    <xf numFmtId="0" fontId="26" fillId="2" borderId="145" xfId="0" applyFont="1" applyFill="1" applyBorder="1" applyAlignment="1">
      <alignment horizontal="center"/>
    </xf>
    <xf numFmtId="4" fontId="15" fillId="2" borderId="149" xfId="0" applyNumberFormat="1" applyFont="1" applyFill="1" applyBorder="1"/>
    <xf numFmtId="4" fontId="9" fillId="2" borderId="150" xfId="0" applyNumberFormat="1" applyFont="1" applyFill="1" applyBorder="1"/>
    <xf numFmtId="2" fontId="23" fillId="2" borderId="151" xfId="0" applyNumberFormat="1" applyFont="1" applyFill="1" applyBorder="1"/>
    <xf numFmtId="4" fontId="15" fillId="2" borderId="41" xfId="0" applyNumberFormat="1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23" fillId="2" borderId="157" xfId="0" applyFont="1" applyFill="1" applyBorder="1"/>
    <xf numFmtId="0" fontId="23" fillId="2" borderId="158" xfId="0" applyFont="1" applyFill="1" applyBorder="1"/>
    <xf numFmtId="0" fontId="15" fillId="2" borderId="159" xfId="0" applyFont="1" applyFill="1" applyBorder="1" applyAlignment="1">
      <alignment horizontal="left"/>
    </xf>
    <xf numFmtId="0" fontId="12" fillId="2" borderId="160" xfId="0" applyFont="1" applyFill="1" applyBorder="1" applyAlignment="1">
      <alignment horizontal="left"/>
    </xf>
    <xf numFmtId="0" fontId="9" fillId="2" borderId="159" xfId="0" applyFont="1" applyFill="1" applyBorder="1"/>
    <xf numFmtId="0" fontId="15" fillId="2" borderId="161" xfId="0" applyFont="1" applyFill="1" applyBorder="1" applyAlignment="1">
      <alignment horizontal="left"/>
    </xf>
    <xf numFmtId="0" fontId="27" fillId="2" borderId="159" xfId="0" applyFont="1" applyFill="1" applyBorder="1"/>
    <xf numFmtId="0" fontId="23" fillId="2" borderId="162" xfId="0" applyFont="1" applyFill="1" applyBorder="1"/>
    <xf numFmtId="0" fontId="23" fillId="2" borderId="163" xfId="0" applyFont="1" applyFill="1" applyBorder="1"/>
    <xf numFmtId="4" fontId="12" fillId="2" borderId="164" xfId="0" applyNumberFormat="1" applyFont="1" applyFill="1" applyBorder="1" applyAlignment="1">
      <alignment horizontal="center"/>
    </xf>
    <xf numFmtId="0" fontId="26" fillId="2" borderId="165" xfId="0" applyFont="1" applyFill="1" applyBorder="1" applyAlignment="1">
      <alignment horizontal="center"/>
    </xf>
    <xf numFmtId="4" fontId="23" fillId="2" borderId="166" xfId="0" applyNumberFormat="1" applyFont="1" applyFill="1" applyBorder="1"/>
    <xf numFmtId="4" fontId="12" fillId="2" borderId="167" xfId="0" applyNumberFormat="1" applyFont="1" applyFill="1" applyBorder="1"/>
    <xf numFmtId="4" fontId="9" fillId="2" borderId="168" xfId="0" applyNumberFormat="1" applyFont="1" applyFill="1" applyBorder="1"/>
    <xf numFmtId="4" fontId="15" fillId="2" borderId="169" xfId="0" applyNumberFormat="1" applyFont="1" applyFill="1" applyBorder="1"/>
    <xf numFmtId="4" fontId="9" fillId="2" borderId="170" xfId="0" applyNumberFormat="1" applyFont="1" applyFill="1" applyBorder="1"/>
    <xf numFmtId="0" fontId="15" fillId="2" borderId="171" xfId="0" applyFont="1" applyFill="1" applyBorder="1" applyAlignment="1">
      <alignment horizontal="left"/>
    </xf>
    <xf numFmtId="0" fontId="26" fillId="2" borderId="172" xfId="0" applyFont="1" applyFill="1" applyBorder="1" applyAlignment="1">
      <alignment horizontal="left"/>
    </xf>
    <xf numFmtId="4" fontId="15" fillId="2" borderId="156" xfId="0" applyNumberFormat="1" applyFont="1" applyFill="1" applyBorder="1"/>
    <xf numFmtId="0" fontId="7" fillId="2" borderId="0" xfId="0" applyFont="1" applyFill="1"/>
    <xf numFmtId="0" fontId="23" fillId="0" borderId="6" xfId="0" applyFont="1" applyBorder="1" applyAlignment="1" applyProtection="1">
      <alignment horizontal="left"/>
      <protection locked="0"/>
    </xf>
    <xf numFmtId="0" fontId="23" fillId="0" borderId="7" xfId="0" applyFont="1" applyBorder="1" applyAlignment="1" applyProtection="1">
      <alignment horizontal="left"/>
      <protection locked="0"/>
    </xf>
    <xf numFmtId="0" fontId="23" fillId="0" borderId="8" xfId="0" applyFont="1" applyBorder="1" applyAlignment="1" applyProtection="1">
      <alignment horizontal="left"/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10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24" fillId="0" borderId="9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1" xfId="0" applyFont="1" applyBorder="1" applyAlignment="1" applyProtection="1">
      <alignment horizontal="left"/>
      <protection locked="0"/>
    </xf>
    <xf numFmtId="0" fontId="23" fillId="0" borderId="12" xfId="0" applyFont="1" applyBorder="1" applyAlignment="1" applyProtection="1">
      <alignment horizontal="left"/>
      <protection locked="0"/>
    </xf>
    <xf numFmtId="0" fontId="23" fillId="0" borderId="13" xfId="0" applyFont="1" applyBorder="1" applyAlignment="1" applyProtection="1">
      <alignment horizontal="left"/>
      <protection locked="0"/>
    </xf>
    <xf numFmtId="0" fontId="20" fillId="0" borderId="173" xfId="0" applyFont="1" applyBorder="1" applyAlignment="1" applyProtection="1">
      <alignment horizontal="left"/>
      <protection locked="0"/>
    </xf>
    <xf numFmtId="0" fontId="20" fillId="0" borderId="174" xfId="0" applyFont="1" applyBorder="1" applyAlignment="1" applyProtection="1">
      <alignment horizontal="left"/>
      <protection locked="0"/>
    </xf>
    <xf numFmtId="0" fontId="20" fillId="0" borderId="175" xfId="0" applyFont="1" applyBorder="1" applyAlignment="1" applyProtection="1">
      <alignment horizontal="left"/>
      <protection locked="0"/>
    </xf>
    <xf numFmtId="0" fontId="20" fillId="0" borderId="176" xfId="0" applyFont="1" applyBorder="1" applyAlignment="1" applyProtection="1">
      <alignment horizontal="left"/>
      <protection locked="0"/>
    </xf>
    <xf numFmtId="0" fontId="20" fillId="0" borderId="177" xfId="0" applyFont="1" applyBorder="1" applyAlignment="1" applyProtection="1">
      <alignment horizontal="left"/>
      <protection locked="0"/>
    </xf>
    <xf numFmtId="0" fontId="20" fillId="0" borderId="178" xfId="0" applyFont="1" applyBorder="1" applyAlignment="1" applyProtection="1">
      <alignment horizontal="left"/>
      <protection locked="0"/>
    </xf>
    <xf numFmtId="0" fontId="20" fillId="0" borderId="179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80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0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29" xfId="0" applyNumberFormat="1" applyFont="1" applyFill="1" applyBorder="1" applyProtection="1">
      <protection locked="0"/>
    </xf>
    <xf numFmtId="4" fontId="9" fillId="2" borderId="137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0" xfId="0" applyNumberFormat="1" applyFont="1" applyFill="1" applyBorder="1" applyProtection="1">
      <protection locked="0"/>
    </xf>
    <xf numFmtId="4" fontId="9" fillId="2" borderId="139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28" xfId="0" applyNumberFormat="1" applyFont="1" applyFill="1" applyBorder="1" applyProtection="1">
      <protection locked="0"/>
    </xf>
    <xf numFmtId="4" fontId="12" fillId="2" borderId="135" xfId="0" applyNumberFormat="1" applyFont="1" applyFill="1" applyBorder="1" applyProtection="1">
      <protection locked="0"/>
    </xf>
    <xf numFmtId="4" fontId="9" fillId="2" borderId="142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9" fillId="2" borderId="144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4" fontId="9" fillId="2" borderId="168" xfId="0" applyNumberFormat="1" applyFont="1" applyFill="1" applyBorder="1" applyProtection="1">
      <protection locked="0"/>
    </xf>
    <xf numFmtId="4" fontId="27" fillId="2" borderId="166" xfId="0" applyNumberFormat="1" applyFont="1" applyFill="1" applyBorder="1" applyProtection="1">
      <protection locked="0"/>
    </xf>
    <xf numFmtId="4" fontId="15" fillId="2" borderId="156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19" fillId="2" borderId="2" xfId="0" applyFont="1" applyFill="1" applyBorder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/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Protection="1">
      <protection locked="0"/>
    </xf>
    <xf numFmtId="0" fontId="8" fillId="2" borderId="64" xfId="0" applyFont="1" applyFill="1" applyBorder="1" applyProtection="1">
      <protection locked="0"/>
    </xf>
    <xf numFmtId="0" fontId="8" fillId="2" borderId="65" xfId="0" applyFont="1" applyFill="1" applyBorder="1" applyProtection="1">
      <protection locked="0"/>
    </xf>
    <xf numFmtId="0" fontId="8" fillId="2" borderId="66" xfId="0" applyFont="1" applyFill="1" applyBorder="1" applyProtection="1">
      <protection locked="0"/>
    </xf>
    <xf numFmtId="0" fontId="8" fillId="2" borderId="67" xfId="0" applyFont="1" applyFill="1" applyBorder="1" applyProtection="1">
      <protection locked="0"/>
    </xf>
    <xf numFmtId="0" fontId="8" fillId="2" borderId="68" xfId="0" applyFont="1" applyFill="1" applyBorder="1" applyProtection="1">
      <protection locked="0"/>
    </xf>
    <xf numFmtId="0" fontId="8" fillId="2" borderId="69" xfId="0" applyFont="1" applyFill="1" applyBorder="1" applyProtection="1">
      <protection locked="0"/>
    </xf>
    <xf numFmtId="0" fontId="8" fillId="2" borderId="70" xfId="0" applyFont="1" applyFill="1" applyBorder="1" applyProtection="1">
      <protection locked="0"/>
    </xf>
    <xf numFmtId="0" fontId="8" fillId="2" borderId="71" xfId="0" applyFont="1" applyFill="1" applyBorder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0" fontId="45" fillId="0" borderId="9" xfId="0" applyFont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left"/>
      <protection locked="0"/>
    </xf>
    <xf numFmtId="0" fontId="45" fillId="0" borderId="10" xfId="0" applyFont="1" applyBorder="1" applyAlignment="1" applyProtection="1">
      <alignment horizontal="left"/>
      <protection locked="0"/>
    </xf>
    <xf numFmtId="0" fontId="45" fillId="0" borderId="9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10" xfId="0" applyFont="1" applyBorder="1" applyAlignment="1" applyProtection="1">
      <alignment horizontal="left" vertical="center"/>
      <protection locked="0"/>
    </xf>
    <xf numFmtId="0" fontId="19" fillId="3" borderId="57" xfId="0" applyFont="1" applyFill="1" applyBorder="1" applyAlignment="1">
      <alignment vertical="center"/>
    </xf>
    <xf numFmtId="0" fontId="19" fillId="3" borderId="59" xfId="0" applyFont="1" applyFill="1" applyBorder="1" applyAlignment="1">
      <alignment vertical="center"/>
    </xf>
    <xf numFmtId="4" fontId="18" fillId="3" borderId="16" xfId="0" applyNumberFormat="1" applyFont="1" applyFill="1" applyBorder="1" applyAlignment="1">
      <alignment horizontal="right" vertical="center"/>
    </xf>
    <xf numFmtId="1" fontId="18" fillId="3" borderId="17" xfId="0" applyNumberFormat="1" applyFont="1" applyFill="1" applyBorder="1" applyAlignment="1">
      <alignment horizontal="center" vertical="center"/>
    </xf>
    <xf numFmtId="1" fontId="15" fillId="3" borderId="18" xfId="0" applyNumberFormat="1" applyFont="1" applyFill="1" applyBorder="1" applyAlignment="1">
      <alignment horizontal="left" vertical="center"/>
    </xf>
    <xf numFmtId="1" fontId="18" fillId="3" borderId="17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horizontal="center"/>
    </xf>
    <xf numFmtId="0" fontId="15" fillId="3" borderId="62" xfId="0" applyFont="1" applyFill="1" applyBorder="1" applyAlignment="1">
      <alignment vertical="center"/>
    </xf>
    <xf numFmtId="0" fontId="24" fillId="3" borderId="19" xfId="0" applyFont="1" applyFill="1" applyBorder="1" applyAlignment="1">
      <alignment horizontal="center" vertical="center"/>
    </xf>
    <xf numFmtId="4" fontId="24" fillId="3" borderId="15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4" fontId="12" fillId="2" borderId="15" xfId="0" applyNumberFormat="1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8" fillId="2" borderId="63" xfId="0" applyFont="1" applyFill="1" applyBorder="1" applyAlignment="1">
      <alignment vertical="center"/>
    </xf>
    <xf numFmtId="0" fontId="8" fillId="2" borderId="65" xfId="0" applyFont="1" applyFill="1" applyBorder="1" applyAlignment="1">
      <alignment vertical="center"/>
    </xf>
    <xf numFmtId="0" fontId="8" fillId="2" borderId="69" xfId="0" applyFont="1" applyFill="1" applyBorder="1" applyAlignment="1">
      <alignment vertical="center"/>
    </xf>
    <xf numFmtId="0" fontId="8" fillId="2" borderId="71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/>
    </xf>
    <xf numFmtId="0" fontId="46" fillId="2" borderId="9" xfId="0" applyFont="1" applyFill="1" applyBorder="1" applyAlignment="1">
      <alignment horizontal="left"/>
    </xf>
    <xf numFmtId="0" fontId="46" fillId="2" borderId="63" xfId="0" applyFont="1" applyFill="1" applyBorder="1" applyAlignment="1">
      <alignment vertical="center"/>
    </xf>
    <xf numFmtId="0" fontId="46" fillId="2" borderId="65" xfId="0" applyFont="1" applyFill="1" applyBorder="1" applyAlignment="1">
      <alignment vertical="center"/>
    </xf>
    <xf numFmtId="4" fontId="46" fillId="2" borderId="77" xfId="0" applyNumberFormat="1" applyFont="1" applyFill="1" applyBorder="1" applyAlignment="1">
      <alignment vertical="center"/>
    </xf>
    <xf numFmtId="4" fontId="46" fillId="2" borderId="77" xfId="0" applyNumberFormat="1" applyFont="1" applyFill="1" applyBorder="1" applyAlignment="1">
      <alignment horizontal="left" vertical="center"/>
    </xf>
    <xf numFmtId="0" fontId="46" fillId="2" borderId="77" xfId="0" applyFont="1" applyFill="1" applyBorder="1" applyAlignment="1">
      <alignment horizontal="left" vertical="center"/>
    </xf>
    <xf numFmtId="0" fontId="46" fillId="2" borderId="10" xfId="0" applyFont="1" applyFill="1" applyBorder="1" applyAlignment="1">
      <alignment horizontal="left"/>
    </xf>
    <xf numFmtId="0" fontId="46" fillId="2" borderId="0" xfId="0" applyFont="1" applyFill="1" applyAlignment="1">
      <alignment horizontal="left" vertical="center"/>
    </xf>
    <xf numFmtId="0" fontId="12" fillId="2" borderId="73" xfId="0" applyFont="1" applyFill="1" applyBorder="1" applyAlignment="1">
      <alignment vertical="center"/>
    </xf>
    <xf numFmtId="0" fontId="12" fillId="2" borderId="75" xfId="0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horizontal="left" vertical="center"/>
    </xf>
    <xf numFmtId="0" fontId="12" fillId="2" borderId="72" xfId="0" applyFont="1" applyFill="1" applyBorder="1" applyAlignment="1">
      <alignment horizontal="left" vertical="center"/>
    </xf>
    <xf numFmtId="4" fontId="24" fillId="3" borderId="76" xfId="0" applyNumberFormat="1" applyFont="1" applyFill="1" applyBorder="1" applyAlignment="1">
      <alignment horizontal="center" vertical="center"/>
    </xf>
    <xf numFmtId="1" fontId="15" fillId="3" borderId="80" xfId="0" applyNumberFormat="1" applyFont="1" applyFill="1" applyBorder="1" applyAlignment="1">
      <alignment horizontal="center" vertical="center"/>
    </xf>
    <xf numFmtId="4" fontId="12" fillId="2" borderId="73" xfId="0" applyNumberFormat="1" applyFont="1" applyFill="1" applyBorder="1" applyAlignment="1">
      <alignment horizontal="left" vertical="center"/>
    </xf>
    <xf numFmtId="4" fontId="12" fillId="2" borderId="74" xfId="0" applyNumberFormat="1" applyFont="1" applyFill="1" applyBorder="1" applyAlignment="1">
      <alignment horizontal="left" vertical="center"/>
    </xf>
    <xf numFmtId="4" fontId="12" fillId="2" borderId="16" xfId="0" applyNumberFormat="1" applyFont="1" applyFill="1" applyBorder="1" applyAlignment="1">
      <alignment horizontal="left" vertical="center"/>
    </xf>
    <xf numFmtId="4" fontId="12" fillId="2" borderId="17" xfId="0" applyNumberFormat="1" applyFont="1" applyFill="1" applyBorder="1" applyAlignment="1">
      <alignment horizontal="left" vertical="center"/>
    </xf>
    <xf numFmtId="4" fontId="12" fillId="2" borderId="18" xfId="0" applyNumberFormat="1" applyFont="1" applyFill="1" applyBorder="1" applyAlignment="1">
      <alignment horizontal="left" vertical="center"/>
    </xf>
    <xf numFmtId="0" fontId="7" fillId="2" borderId="99" xfId="0" applyFont="1" applyFill="1" applyBorder="1" applyAlignment="1">
      <alignment vertical="center"/>
    </xf>
    <xf numFmtId="0" fontId="8" fillId="2" borderId="104" xfId="0" applyFont="1" applyFill="1" applyBorder="1" applyAlignment="1">
      <alignment vertical="center"/>
    </xf>
    <xf numFmtId="0" fontId="7" fillId="2" borderId="66" xfId="0" applyFont="1" applyFill="1" applyBorder="1" applyAlignment="1">
      <alignment vertical="center"/>
    </xf>
    <xf numFmtId="0" fontId="7" fillId="2" borderId="93" xfId="0" applyFont="1" applyFill="1" applyBorder="1" applyAlignment="1">
      <alignment vertical="center"/>
    </xf>
    <xf numFmtId="0" fontId="8" fillId="2" borderId="98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0" fontId="8" fillId="2" borderId="153" xfId="0" applyFont="1" applyFill="1" applyBorder="1" applyAlignment="1" applyProtection="1">
      <alignment vertical="center"/>
      <protection locked="0"/>
    </xf>
    <xf numFmtId="4" fontId="8" fillId="2" borderId="154" xfId="0" applyNumberFormat="1" applyFont="1" applyFill="1" applyBorder="1" applyAlignment="1" applyProtection="1">
      <alignment horizontal="right" vertical="center"/>
      <protection locked="0"/>
    </xf>
    <xf numFmtId="4" fontId="8" fillId="2" borderId="152" xfId="0" applyNumberFormat="1" applyFont="1" applyFill="1" applyBorder="1" applyAlignment="1" applyProtection="1">
      <alignment horizontal="left" vertical="center"/>
      <protection locked="0"/>
    </xf>
    <xf numFmtId="4" fontId="8" fillId="2" borderId="155" xfId="0" applyNumberFormat="1" applyFont="1" applyFill="1" applyBorder="1" applyAlignment="1" applyProtection="1">
      <alignment horizontal="left" vertical="center"/>
      <protection locked="0"/>
    </xf>
    <xf numFmtId="4" fontId="8" fillId="2" borderId="153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27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Alignment="1">
      <alignment horizontal="right"/>
    </xf>
    <xf numFmtId="0" fontId="12" fillId="4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23" fillId="2" borderId="0" xfId="0" applyFont="1" applyFill="1" applyAlignment="1">
      <alignment horizontal="center"/>
    </xf>
    <xf numFmtId="0" fontId="31" fillId="2" borderId="1" xfId="0" applyFont="1" applyFill="1" applyBorder="1" applyAlignment="1">
      <alignment horizontal="left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left"/>
    </xf>
    <xf numFmtId="0" fontId="47" fillId="2" borderId="0" xfId="0" applyFont="1" applyFill="1" applyAlignment="1">
      <alignment horizontal="center"/>
    </xf>
    <xf numFmtId="0" fontId="23" fillId="2" borderId="9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/>
    </xf>
    <xf numFmtId="0" fontId="23" fillId="2" borderId="10" xfId="0" applyFont="1" applyFill="1" applyBorder="1" applyAlignment="1">
      <alignment wrapText="1"/>
    </xf>
    <xf numFmtId="0" fontId="23" fillId="2" borderId="0" xfId="0" applyFont="1" applyFill="1" applyAlignment="1">
      <alignment wrapText="1"/>
    </xf>
    <xf numFmtId="0" fontId="20" fillId="6" borderId="1" xfId="0" applyFont="1" applyFill="1" applyBorder="1" applyAlignment="1">
      <alignment horizontal="left"/>
    </xf>
    <xf numFmtId="0" fontId="23" fillId="2" borderId="0" xfId="0" applyFont="1" applyFill="1" applyAlignment="1">
      <alignment horizontal="center" wrapText="1"/>
    </xf>
    <xf numFmtId="0" fontId="23" fillId="2" borderId="0" xfId="0" quotePrefix="1" applyFont="1" applyFill="1" applyAlignment="1">
      <alignment horizontal="left"/>
    </xf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vertical="center"/>
    </xf>
    <xf numFmtId="4" fontId="8" fillId="2" borderId="0" xfId="0" applyNumberFormat="1" applyFont="1" applyFill="1" applyAlignment="1" applyProtection="1">
      <alignment vertical="center"/>
      <protection locked="0"/>
    </xf>
    <xf numFmtId="4" fontId="8" fillId="2" borderId="0" xfId="0" applyNumberFormat="1" applyFont="1" applyFill="1" applyAlignment="1" applyProtection="1">
      <alignment horizontal="left" vertical="center"/>
      <protection locked="0"/>
    </xf>
    <xf numFmtId="0" fontId="24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quotePrefix="1" applyFont="1" applyFill="1" applyAlignment="1">
      <alignment vertical="center"/>
    </xf>
    <xf numFmtId="4" fontId="12" fillId="3" borderId="76" xfId="0" applyNumberFormat="1" applyFont="1" applyFill="1" applyBorder="1" applyAlignment="1">
      <alignment horizontal="center" vertical="center"/>
    </xf>
    <xf numFmtId="1" fontId="12" fillId="3" borderId="80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68" xfId="0" applyFont="1" applyFill="1" applyBorder="1" applyAlignment="1">
      <alignment vertical="center"/>
    </xf>
    <xf numFmtId="0" fontId="12" fillId="2" borderId="74" xfId="0" applyFont="1" applyFill="1" applyBorder="1" applyAlignment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50" fillId="2" borderId="101" xfId="0" applyFont="1" applyFill="1" applyBorder="1" applyAlignment="1" applyProtection="1">
      <alignment horizontal="center" vertical="center"/>
      <protection locked="0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63" xfId="0" applyFont="1" applyFill="1" applyBorder="1" applyAlignment="1">
      <alignment vertical="center"/>
    </xf>
    <xf numFmtId="0" fontId="12" fillId="2" borderId="65" xfId="0" applyFont="1" applyFill="1" applyBorder="1" applyAlignment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>
      <alignment vertical="center"/>
    </xf>
    <xf numFmtId="0" fontId="12" fillId="2" borderId="71" xfId="0" applyFont="1" applyFill="1" applyBorder="1" applyAlignment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>
      <alignment horizontal="left" vertical="center"/>
    </xf>
    <xf numFmtId="0" fontId="12" fillId="2" borderId="77" xfId="0" applyFont="1" applyFill="1" applyBorder="1" applyAlignment="1">
      <alignment horizontal="left" vertical="center"/>
    </xf>
    <xf numFmtId="0" fontId="12" fillId="2" borderId="66" xfId="0" applyFont="1" applyFill="1" applyBorder="1" applyAlignment="1">
      <alignment vertical="center"/>
    </xf>
    <xf numFmtId="0" fontId="12" fillId="2" borderId="68" xfId="0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horizontal="left" vertical="center"/>
    </xf>
    <xf numFmtId="0" fontId="12" fillId="2" borderId="78" xfId="0" applyFont="1" applyFill="1" applyBorder="1" applyAlignment="1">
      <alignment horizontal="left" vertical="center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>
      <alignment vertical="center"/>
    </xf>
    <xf numFmtId="0" fontId="12" fillId="2" borderId="59" xfId="0" applyFont="1" applyFill="1" applyBorder="1" applyAlignment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4" fontId="15" fillId="2" borderId="0" xfId="0" applyNumberFormat="1" applyFont="1" applyFill="1"/>
    <xf numFmtId="0" fontId="24" fillId="2" borderId="0" xfId="0" quotePrefix="1" applyFont="1" applyFill="1" applyAlignment="1">
      <alignment horizontal="left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Font="1" applyFill="1" applyBorder="1" applyAlignment="1" applyProtection="1">
      <alignment horizontal="left" vertical="center"/>
      <protection locked="0"/>
    </xf>
    <xf numFmtId="0" fontId="7" fillId="2" borderId="68" xfId="0" applyFont="1" applyFill="1" applyBorder="1" applyAlignment="1" applyProtection="1">
      <alignment horizontal="left" vertical="center"/>
      <protection locked="0"/>
    </xf>
    <xf numFmtId="0" fontId="7" fillId="2" borderId="98" xfId="0" applyFont="1" applyFill="1" applyBorder="1" applyAlignment="1" applyProtection="1">
      <alignment horizontal="left" vertical="center"/>
      <protection locked="0"/>
    </xf>
    <xf numFmtId="0" fontId="7" fillId="2" borderId="71" xfId="0" applyFont="1" applyFill="1" applyBorder="1" applyAlignment="1" applyProtection="1">
      <alignment horizontal="left" vertical="center"/>
      <protection locked="0"/>
    </xf>
    <xf numFmtId="0" fontId="3" fillId="2" borderId="101" xfId="0" applyFont="1" applyFill="1" applyBorder="1" applyAlignment="1" applyProtection="1">
      <alignment horizontal="center" vertical="center"/>
      <protection locked="0"/>
    </xf>
    <xf numFmtId="0" fontId="3" fillId="2" borderId="78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79" xfId="0" applyFont="1" applyFill="1" applyBorder="1" applyAlignment="1" applyProtection="1">
      <alignment horizontal="center" vertic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Alignment="1">
      <alignment vertical="center"/>
    </xf>
    <xf numFmtId="0" fontId="53" fillId="7" borderId="0" xfId="0" applyFont="1" applyFill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7" fillId="2" borderId="0" xfId="0" applyFont="1" applyFill="1" applyAlignment="1" applyProtection="1">
      <alignment horizontal="left" vertical="center"/>
      <protection locked="0"/>
    </xf>
    <xf numFmtId="4" fontId="37" fillId="2" borderId="0" xfId="0" applyNumberFormat="1" applyFont="1" applyFill="1" applyAlignment="1" applyProtection="1">
      <alignment horizontal="left" vertical="center"/>
      <protection locked="0"/>
    </xf>
    <xf numFmtId="4" fontId="15" fillId="2" borderId="0" xfId="0" applyNumberFormat="1" applyFont="1" applyFill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horizontal="left" vertical="center"/>
      <protection locked="0"/>
    </xf>
    <xf numFmtId="0" fontId="37" fillId="2" borderId="0" xfId="0" quotePrefix="1" applyFont="1" applyFill="1" applyAlignment="1" applyProtection="1">
      <alignment horizontal="left" vertical="center"/>
      <protection locked="0"/>
    </xf>
    <xf numFmtId="3" fontId="34" fillId="2" borderId="0" xfId="0" applyNumberFormat="1" applyFont="1" applyFill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left"/>
    </xf>
    <xf numFmtId="0" fontId="37" fillId="0" borderId="0" xfId="0" quotePrefix="1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4" fontId="37" fillId="0" borderId="0" xfId="0" applyNumberFormat="1" applyFont="1" applyAlignment="1" applyProtection="1">
      <alignment horizontal="left" vertical="center"/>
      <protection locked="0"/>
    </xf>
    <xf numFmtId="4" fontId="15" fillId="0" borderId="0" xfId="0" applyNumberFormat="1" applyFont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8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0" fontId="20" fillId="0" borderId="0" xfId="0" applyFont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3" fillId="3" borderId="18" xfId="132" applyFont="1" applyFill="1" applyBorder="1" applyAlignment="1">
      <alignment horizontal="center" vertical="center" wrapText="1"/>
    </xf>
    <xf numFmtId="4" fontId="6" fillId="2" borderId="99" xfId="0" applyNumberFormat="1" applyFont="1" applyFill="1" applyBorder="1" applyAlignment="1" applyProtection="1">
      <alignment vertical="center"/>
      <protection locked="0"/>
    </xf>
    <xf numFmtId="4" fontId="6" fillId="2" borderId="66" xfId="0" applyNumberFormat="1" applyFont="1" applyFill="1" applyBorder="1" applyAlignment="1" applyProtection="1">
      <alignment vertical="center"/>
      <protection locked="0"/>
    </xf>
    <xf numFmtId="4" fontId="6" fillId="2" borderId="93" xfId="0" applyNumberFormat="1" applyFont="1" applyFill="1" applyBorder="1" applyAlignment="1" applyProtection="1">
      <alignment vertical="center"/>
      <protection locked="0"/>
    </xf>
    <xf numFmtId="4" fontId="6" fillId="2" borderId="69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Alignment="1" applyProtection="1">
      <alignment horizontal="center" vertical="center"/>
      <protection locked="0"/>
    </xf>
    <xf numFmtId="4" fontId="8" fillId="2" borderId="16" xfId="0" applyNumberFormat="1" applyFont="1" applyFill="1" applyBorder="1" applyAlignment="1" applyProtection="1">
      <alignment vertical="center"/>
      <protection locked="0"/>
    </xf>
    <xf numFmtId="0" fontId="33" fillId="3" borderId="62" xfId="132" applyFont="1" applyFill="1" applyBorder="1" applyAlignment="1">
      <alignment horizontal="center" vertical="center" wrapText="1"/>
    </xf>
    <xf numFmtId="0" fontId="33" fillId="3" borderId="184" xfId="132" applyFont="1" applyFill="1" applyBorder="1" applyAlignment="1">
      <alignment horizontal="center" vertical="center" wrapText="1"/>
    </xf>
    <xf numFmtId="4" fontId="8" fillId="2" borderId="186" xfId="0" applyNumberFormat="1" applyFont="1" applyFill="1" applyBorder="1" applyAlignment="1" applyProtection="1">
      <alignment vertical="center"/>
      <protection locked="0"/>
    </xf>
    <xf numFmtId="4" fontId="8" fillId="2" borderId="187" xfId="0" applyNumberFormat="1" applyFont="1" applyFill="1" applyBorder="1" applyAlignment="1" applyProtection="1">
      <alignment vertical="center"/>
      <protection locked="0"/>
    </xf>
    <xf numFmtId="4" fontId="8" fillId="2" borderId="188" xfId="0" applyNumberFormat="1" applyFont="1" applyFill="1" applyBorder="1" applyAlignment="1" applyProtection="1">
      <alignment vertical="center"/>
      <protection locked="0"/>
    </xf>
    <xf numFmtId="4" fontId="8" fillId="2" borderId="189" xfId="0" applyNumberFormat="1" applyFont="1" applyFill="1" applyBorder="1" applyAlignment="1" applyProtection="1">
      <alignment vertical="center"/>
      <protection locked="0"/>
    </xf>
    <xf numFmtId="4" fontId="8" fillId="2" borderId="190" xfId="0" applyNumberFormat="1" applyFont="1" applyFill="1" applyBorder="1" applyAlignment="1" applyProtection="1">
      <alignment vertical="center"/>
      <protection locked="0"/>
    </xf>
    <xf numFmtId="0" fontId="33" fillId="3" borderId="19" xfId="132" applyFont="1" applyFill="1" applyBorder="1" applyAlignment="1">
      <alignment horizontal="center" vertical="center" wrapText="1"/>
    </xf>
    <xf numFmtId="0" fontId="33" fillId="3" borderId="191" xfId="132" applyFont="1" applyFill="1" applyBorder="1" applyAlignment="1">
      <alignment horizontal="center" vertical="center" wrapText="1"/>
    </xf>
    <xf numFmtId="4" fontId="12" fillId="2" borderId="191" xfId="0" applyNumberFormat="1" applyFont="1" applyFill="1" applyBorder="1" applyAlignment="1" applyProtection="1">
      <alignment vertical="center"/>
      <protection locked="0"/>
    </xf>
    <xf numFmtId="4" fontId="8" fillId="2" borderId="193" xfId="0" applyNumberFormat="1" applyFont="1" applyFill="1" applyBorder="1" applyAlignment="1" applyProtection="1">
      <alignment vertical="center"/>
      <protection locked="0"/>
    </xf>
    <xf numFmtId="4" fontId="8" fillId="2" borderId="194" xfId="0" applyNumberFormat="1" applyFont="1" applyFill="1" applyBorder="1" applyAlignment="1" applyProtection="1">
      <alignment vertical="center"/>
      <protection locked="0"/>
    </xf>
    <xf numFmtId="4" fontId="8" fillId="2" borderId="195" xfId="0" applyNumberFormat="1" applyFont="1" applyFill="1" applyBorder="1" applyAlignment="1" applyProtection="1">
      <alignment vertical="center"/>
      <protection locked="0"/>
    </xf>
    <xf numFmtId="4" fontId="8" fillId="2" borderId="196" xfId="0" applyNumberFormat="1" applyFont="1" applyFill="1" applyBorder="1" applyAlignment="1" applyProtection="1">
      <alignment vertical="center"/>
      <protection locked="0"/>
    </xf>
    <xf numFmtId="4" fontId="8" fillId="2" borderId="197" xfId="0" applyNumberFormat="1" applyFont="1" applyFill="1" applyBorder="1" applyAlignment="1" applyProtection="1">
      <alignment vertical="center"/>
      <protection locked="0"/>
    </xf>
    <xf numFmtId="4" fontId="8" fillId="2" borderId="191" xfId="0" applyNumberFormat="1" applyFont="1" applyFill="1" applyBorder="1" applyAlignment="1" applyProtection="1">
      <alignment vertical="center"/>
      <protection locked="0"/>
    </xf>
    <xf numFmtId="4" fontId="8" fillId="2" borderId="199" xfId="0" applyNumberFormat="1" applyFont="1" applyFill="1" applyBorder="1" applyAlignment="1" applyProtection="1">
      <alignment vertical="center"/>
      <protection locked="0"/>
    </xf>
    <xf numFmtId="4" fontId="8" fillId="2" borderId="200" xfId="0" applyNumberFormat="1" applyFont="1" applyFill="1" applyBorder="1" applyAlignment="1" applyProtection="1">
      <alignment vertical="center"/>
      <protection locked="0"/>
    </xf>
    <xf numFmtId="4" fontId="8" fillId="2" borderId="201" xfId="0" applyNumberFormat="1" applyFont="1" applyFill="1" applyBorder="1" applyAlignment="1" applyProtection="1">
      <alignment vertical="center"/>
      <protection locked="0"/>
    </xf>
    <xf numFmtId="4" fontId="8" fillId="2" borderId="202" xfId="0" applyNumberFormat="1" applyFont="1" applyFill="1" applyBorder="1" applyAlignment="1" applyProtection="1">
      <alignment vertical="center"/>
      <protection locked="0"/>
    </xf>
    <xf numFmtId="4" fontId="8" fillId="2" borderId="203" xfId="0" applyNumberFormat="1" applyFont="1" applyFill="1" applyBorder="1" applyAlignment="1" applyProtection="1">
      <alignment vertical="center"/>
      <protection locked="0"/>
    </xf>
    <xf numFmtId="4" fontId="56" fillId="3" borderId="183" xfId="0" applyNumberFormat="1" applyFont="1" applyFill="1" applyBorder="1" applyAlignment="1">
      <alignment vertical="center"/>
    </xf>
    <xf numFmtId="4" fontId="56" fillId="3" borderId="185" xfId="0" applyNumberFormat="1" applyFont="1" applyFill="1" applyBorder="1" applyAlignment="1">
      <alignment vertical="center"/>
    </xf>
    <xf numFmtId="4" fontId="56" fillId="3" borderId="75" xfId="0" applyNumberFormat="1" applyFont="1" applyFill="1" applyBorder="1" applyAlignment="1">
      <alignment vertical="center"/>
    </xf>
    <xf numFmtId="0" fontId="33" fillId="3" borderId="57" xfId="132" applyFont="1" applyFill="1" applyBorder="1" applyAlignment="1">
      <alignment horizontal="center" vertical="center" wrapText="1"/>
    </xf>
    <xf numFmtId="0" fontId="33" fillId="3" borderId="60" xfId="132" applyFont="1" applyFill="1" applyBorder="1" applyAlignment="1">
      <alignment horizontal="center" vertical="center" wrapText="1"/>
    </xf>
    <xf numFmtId="0" fontId="33" fillId="3" borderId="204" xfId="132" applyFont="1" applyFill="1" applyBorder="1" applyAlignment="1">
      <alignment horizontal="center" vertical="center" wrapText="1"/>
    </xf>
    <xf numFmtId="0" fontId="33" fillId="3" borderId="61" xfId="132" applyFont="1" applyFill="1" applyBorder="1" applyAlignment="1">
      <alignment horizontal="center" vertical="center" wrapText="1"/>
    </xf>
    <xf numFmtId="4" fontId="19" fillId="2" borderId="104" xfId="0" applyNumberFormat="1" applyFont="1" applyFill="1" applyBorder="1" applyAlignment="1" applyProtection="1">
      <alignment horizontal="right" vertical="center"/>
      <protection locked="0"/>
    </xf>
    <xf numFmtId="4" fontId="18" fillId="2" borderId="104" xfId="0" applyNumberFormat="1" applyFont="1" applyFill="1" applyBorder="1" applyAlignment="1" applyProtection="1">
      <alignment horizontal="right" vertical="center"/>
      <protection locked="0"/>
    </xf>
    <xf numFmtId="4" fontId="12" fillId="2" borderId="104" xfId="0" applyNumberFormat="1" applyFont="1" applyFill="1" applyBorder="1" applyAlignment="1" applyProtection="1">
      <alignment horizontal="right" vertical="center"/>
      <protection locked="0"/>
    </xf>
    <xf numFmtId="4" fontId="12" fillId="0" borderId="77" xfId="0" applyNumberFormat="1" applyFont="1" applyBorder="1" applyAlignment="1" applyProtection="1">
      <alignment vertical="center"/>
      <protection locked="0"/>
    </xf>
    <xf numFmtId="4" fontId="18" fillId="12" borderId="104" xfId="0" applyNumberFormat="1" applyFont="1" applyFill="1" applyBorder="1" applyAlignment="1" applyProtection="1">
      <alignment horizontal="right" vertical="center"/>
      <protection locked="0"/>
    </xf>
    <xf numFmtId="14" fontId="8" fillId="2" borderId="101" xfId="0" applyNumberFormat="1" applyFont="1" applyFill="1" applyBorder="1" applyAlignment="1" applyProtection="1">
      <alignment horizontal="center" vertical="center"/>
      <protection locked="0"/>
    </xf>
    <xf numFmtId="0" fontId="1" fillId="2" borderId="100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/>
    <xf numFmtId="0" fontId="53" fillId="2" borderId="0" xfId="0" applyFont="1" applyFill="1" applyAlignment="1">
      <alignment vertical="center"/>
    </xf>
    <xf numFmtId="0" fontId="50" fillId="2" borderId="0" xfId="0" applyFont="1" applyFill="1"/>
    <xf numFmtId="0" fontId="5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/>
    </xf>
    <xf numFmtId="4" fontId="12" fillId="2" borderId="73" xfId="0" applyNumberFormat="1" applyFont="1" applyFill="1" applyBorder="1" applyAlignment="1">
      <alignment vertical="center"/>
    </xf>
    <xf numFmtId="4" fontId="12" fillId="0" borderId="185" xfId="0" applyNumberFormat="1" applyFont="1" applyBorder="1" applyAlignment="1">
      <alignment vertical="center"/>
    </xf>
    <xf numFmtId="4" fontId="12" fillId="2" borderId="198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1" fillId="2" borderId="63" xfId="0" applyFont="1" applyFill="1" applyBorder="1" applyAlignment="1" applyProtection="1">
      <alignment vertical="center"/>
      <protection locked="0"/>
    </xf>
    <xf numFmtId="0" fontId="3" fillId="0" borderId="78" xfId="0" applyFont="1" applyBorder="1" applyAlignment="1">
      <alignment horizontal="center" vertical="center"/>
    </xf>
    <xf numFmtId="0" fontId="23" fillId="0" borderId="6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8" fillId="3" borderId="76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 wrapText="1"/>
    </xf>
    <xf numFmtId="0" fontId="12" fillId="3" borderId="87" xfId="0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4" fontId="12" fillId="3" borderId="101" xfId="0" applyNumberFormat="1" applyFont="1" applyFill="1" applyBorder="1" applyAlignment="1">
      <alignment horizontal="right" vertical="center"/>
    </xf>
    <xf numFmtId="4" fontId="12" fillId="3" borderId="78" xfId="0" applyNumberFormat="1" applyFont="1" applyFill="1" applyBorder="1" applyAlignment="1">
      <alignment horizontal="right" vertical="center"/>
    </xf>
    <xf numFmtId="4" fontId="12" fillId="3" borderId="79" xfId="0" applyNumberFormat="1" applyFont="1" applyFill="1" applyBorder="1" applyAlignment="1">
      <alignment horizontal="right" vertical="center"/>
    </xf>
    <xf numFmtId="4" fontId="12" fillId="3" borderId="91" xfId="0" applyNumberFormat="1" applyFont="1" applyFill="1" applyBorder="1" applyAlignment="1">
      <alignment vertical="center"/>
    </xf>
    <xf numFmtId="4" fontId="23" fillId="0" borderId="9" xfId="0" applyNumberFormat="1" applyFont="1" applyBorder="1" applyAlignment="1">
      <alignment horizontal="left"/>
    </xf>
    <xf numFmtId="4" fontId="12" fillId="3" borderId="77" xfId="0" applyNumberFormat="1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left" vertical="center"/>
    </xf>
    <xf numFmtId="4" fontId="24" fillId="2" borderId="0" xfId="0" applyNumberFormat="1" applyFont="1" applyFill="1" applyAlignment="1">
      <alignment vertical="center"/>
    </xf>
    <xf numFmtId="0" fontId="23" fillId="0" borderId="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Alignment="1">
      <alignment horizontal="left" vertical="center"/>
    </xf>
    <xf numFmtId="0" fontId="23" fillId="0" borderId="11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4" fontId="1" fillId="2" borderId="101" xfId="0" applyNumberFormat="1" applyFont="1" applyFill="1" applyBorder="1" applyAlignment="1" applyProtection="1">
      <alignment horizontal="right" vertical="center"/>
      <protection locked="0"/>
    </xf>
    <xf numFmtId="4" fontId="23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right" vertical="center"/>
    </xf>
    <xf numFmtId="4" fontId="23" fillId="2" borderId="6" xfId="0" applyNumberFormat="1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right"/>
    </xf>
    <xf numFmtId="4" fontId="23" fillId="2" borderId="8" xfId="0" applyNumberFormat="1" applyFont="1" applyFill="1" applyBorder="1" applyAlignment="1">
      <alignment horizontal="left"/>
    </xf>
    <xf numFmtId="4" fontId="23" fillId="2" borderId="9" xfId="0" applyNumberFormat="1" applyFont="1" applyFill="1" applyBorder="1" applyAlignment="1">
      <alignment horizontal="left"/>
    </xf>
    <xf numFmtId="4" fontId="12" fillId="2" borderId="0" xfId="0" applyNumberFormat="1" applyFont="1" applyFill="1" applyAlignment="1">
      <alignment horizontal="left"/>
    </xf>
    <xf numFmtId="4" fontId="23" fillId="2" borderId="10" xfId="0" applyNumberFormat="1" applyFont="1" applyFill="1" applyBorder="1" applyAlignment="1">
      <alignment horizontal="left"/>
    </xf>
    <xf numFmtId="4" fontId="24" fillId="2" borderId="0" xfId="0" applyNumberFormat="1" applyFont="1" applyFill="1" applyAlignment="1">
      <alignment horizontal="left"/>
    </xf>
    <xf numFmtId="4" fontId="1" fillId="2" borderId="9" xfId="0" applyNumberFormat="1" applyFont="1" applyFill="1" applyBorder="1" applyAlignment="1">
      <alignment horizontal="left"/>
    </xf>
    <xf numFmtId="4" fontId="12" fillId="4" borderId="0" xfId="0" applyNumberFormat="1" applyFont="1" applyFill="1" applyAlignment="1">
      <alignment horizontal="left" vertical="center"/>
    </xf>
    <xf numFmtId="4" fontId="1" fillId="2" borderId="10" xfId="0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17" fillId="2" borderId="9" xfId="0" applyNumberFormat="1" applyFont="1" applyFill="1" applyBorder="1" applyAlignment="1">
      <alignment horizontal="left"/>
    </xf>
    <xf numFmtId="4" fontId="15" fillId="5" borderId="0" xfId="0" applyNumberFormat="1" applyFont="1" applyFill="1" applyAlignment="1">
      <alignment horizontal="right" vertical="center"/>
    </xf>
    <xf numFmtId="4" fontId="17" fillId="2" borderId="10" xfId="0" applyNumberFormat="1" applyFont="1" applyFill="1" applyBorder="1" applyAlignment="1">
      <alignment horizontal="left"/>
    </xf>
    <xf numFmtId="4" fontId="19" fillId="2" borderId="9" xfId="0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horizontal="center" vertical="center"/>
    </xf>
    <xf numFmtId="4" fontId="57" fillId="2" borderId="9" xfId="0" applyNumberFormat="1" applyFont="1" applyFill="1" applyBorder="1" applyAlignment="1">
      <alignment horizontal="left" vertical="center"/>
    </xf>
    <xf numFmtId="4" fontId="15" fillId="3" borderId="18" xfId="0" applyNumberFormat="1" applyFont="1" applyFill="1" applyBorder="1" applyAlignment="1">
      <alignment horizontal="right" vertical="center"/>
    </xf>
    <xf numFmtId="4" fontId="57" fillId="2" borderId="10" xfId="0" applyNumberFormat="1" applyFont="1" applyFill="1" applyBorder="1" applyAlignment="1">
      <alignment horizontal="left" vertical="center"/>
    </xf>
    <xf numFmtId="4" fontId="57" fillId="2" borderId="0" xfId="0" applyNumberFormat="1" applyFont="1" applyFill="1" applyAlignment="1">
      <alignment horizontal="left" vertical="center"/>
    </xf>
    <xf numFmtId="4" fontId="15" fillId="2" borderId="9" xfId="0" applyNumberFormat="1" applyFont="1" applyFill="1" applyBorder="1" applyAlignment="1">
      <alignment horizontal="left"/>
    </xf>
    <xf numFmtId="4" fontId="15" fillId="2" borderId="16" xfId="0" applyNumberFormat="1" applyFont="1" applyFill="1" applyBorder="1" applyAlignment="1">
      <alignment horizontal="center" vertical="center"/>
    </xf>
    <xf numFmtId="4" fontId="15" fillId="2" borderId="18" xfId="0" applyNumberFormat="1" applyFont="1" applyFill="1" applyBorder="1" applyAlignment="1">
      <alignment horizontal="right" vertical="center"/>
    </xf>
    <xf numFmtId="4" fontId="15" fillId="2" borderId="15" xfId="0" applyNumberFormat="1" applyFont="1" applyFill="1" applyBorder="1" applyAlignment="1">
      <alignment vertical="center"/>
    </xf>
    <xf numFmtId="4" fontId="15" fillId="2" borderId="10" xfId="0" applyNumberFormat="1" applyFont="1" applyFill="1" applyBorder="1" applyAlignment="1">
      <alignment horizontal="left"/>
    </xf>
    <xf numFmtId="4" fontId="15" fillId="2" borderId="0" xfId="0" applyNumberFormat="1" applyFont="1" applyFill="1" applyAlignment="1">
      <alignment horizontal="left"/>
    </xf>
    <xf numFmtId="4" fontId="58" fillId="2" borderId="99" xfId="0" applyNumberFormat="1" applyFont="1" applyFill="1" applyBorder="1" applyAlignment="1">
      <alignment horizontal="center" vertical="center"/>
    </xf>
    <xf numFmtId="4" fontId="59" fillId="2" borderId="104" xfId="0" applyNumberFormat="1" applyFont="1" applyFill="1" applyBorder="1" applyAlignment="1">
      <alignment horizontal="left" vertical="center"/>
    </xf>
    <xf numFmtId="4" fontId="59" fillId="2" borderId="104" xfId="0" applyNumberFormat="1" applyFont="1" applyFill="1" applyBorder="1" applyAlignment="1">
      <alignment horizontal="right" vertical="center"/>
    </xf>
    <xf numFmtId="4" fontId="59" fillId="3" borderId="104" xfId="0" applyNumberFormat="1" applyFont="1" applyFill="1" applyBorder="1" applyAlignment="1">
      <alignment horizontal="right" vertical="center"/>
    </xf>
    <xf numFmtId="4" fontId="19" fillId="2" borderId="101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horizontal="left"/>
    </xf>
    <xf numFmtId="4" fontId="38" fillId="2" borderId="0" xfId="0" applyNumberFormat="1" applyFont="1" applyFill="1" applyAlignment="1">
      <alignment horizontal="left"/>
    </xf>
    <xf numFmtId="4" fontId="58" fillId="2" borderId="63" xfId="0" applyNumberFormat="1" applyFont="1" applyFill="1" applyBorder="1" applyAlignment="1">
      <alignment horizontal="center" vertical="center"/>
    </xf>
    <xf numFmtId="4" fontId="59" fillId="2" borderId="65" xfId="0" applyNumberFormat="1" applyFont="1" applyFill="1" applyBorder="1" applyAlignment="1">
      <alignment horizontal="left" vertical="center"/>
    </xf>
    <xf numFmtId="4" fontId="59" fillId="2" borderId="65" xfId="0" applyNumberFormat="1" applyFont="1" applyFill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left"/>
    </xf>
    <xf numFmtId="4" fontId="12" fillId="2" borderId="10" xfId="0" applyNumberFormat="1" applyFont="1" applyFill="1" applyBorder="1" applyAlignment="1">
      <alignment horizontal="left"/>
    </xf>
    <xf numFmtId="4" fontId="17" fillId="2" borderId="9" xfId="0" applyNumberFormat="1" applyFont="1" applyFill="1" applyBorder="1" applyAlignment="1">
      <alignment vertical="center"/>
    </xf>
    <xf numFmtId="4" fontId="15" fillId="3" borderId="18" xfId="0" applyNumberFormat="1" applyFont="1" applyFill="1" applyBorder="1" applyAlignment="1">
      <alignment vertical="center"/>
    </xf>
    <xf numFmtId="4" fontId="17" fillId="2" borderId="10" xfId="0" applyNumberFormat="1" applyFont="1" applyFill="1" applyBorder="1" applyAlignment="1">
      <alignment vertical="center"/>
    </xf>
    <xf numFmtId="4" fontId="17" fillId="2" borderId="0" xfId="0" applyNumberFormat="1" applyFont="1" applyFill="1" applyAlignment="1">
      <alignment vertical="center"/>
    </xf>
    <xf numFmtId="4" fontId="60" fillId="2" borderId="104" xfId="0" applyNumberFormat="1" applyFont="1" applyFill="1" applyBorder="1" applyAlignment="1">
      <alignment horizontal="left" vertical="center"/>
    </xf>
    <xf numFmtId="4" fontId="19" fillId="2" borderId="104" xfId="0" applyNumberFormat="1" applyFont="1" applyFill="1" applyBorder="1" applyAlignment="1">
      <alignment horizontal="right" vertical="center"/>
    </xf>
    <xf numFmtId="4" fontId="69" fillId="2" borderId="0" xfId="0" applyNumberFormat="1" applyFont="1" applyFill="1" applyAlignment="1">
      <alignment horizontal="left"/>
    </xf>
    <xf numFmtId="4" fontId="18" fillId="2" borderId="9" xfId="0" applyNumberFormat="1" applyFont="1" applyFill="1" applyBorder="1" applyAlignment="1">
      <alignment horizontal="left"/>
    </xf>
    <xf numFmtId="4" fontId="18" fillId="3" borderId="104" xfId="0" applyNumberFormat="1" applyFont="1" applyFill="1" applyBorder="1" applyAlignment="1">
      <alignment horizontal="right" vertical="center"/>
    </xf>
    <xf numFmtId="4" fontId="18" fillId="2" borderId="10" xfId="0" applyNumberFormat="1" applyFont="1" applyFill="1" applyBorder="1" applyAlignment="1">
      <alignment horizontal="left"/>
    </xf>
    <xf numFmtId="4" fontId="18" fillId="2" borderId="0" xfId="0" applyNumberFormat="1" applyFont="1" applyFill="1" applyAlignment="1">
      <alignment horizontal="left"/>
    </xf>
    <xf numFmtId="4" fontId="17" fillId="2" borderId="9" xfId="0" applyNumberFormat="1" applyFont="1" applyFill="1" applyBorder="1" applyAlignment="1">
      <alignment horizontal="left" vertical="center"/>
    </xf>
    <xf numFmtId="4" fontId="17" fillId="2" borderId="10" xfId="0" applyNumberFormat="1" applyFont="1" applyFill="1" applyBorder="1" applyAlignment="1">
      <alignment horizontal="left" vertical="center"/>
    </xf>
    <xf numFmtId="4" fontId="12" fillId="2" borderId="16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right" vertical="center"/>
    </xf>
    <xf numFmtId="4" fontId="19" fillId="3" borderId="104" xfId="0" applyNumberFormat="1" applyFont="1" applyFill="1" applyBorder="1" applyAlignment="1">
      <alignment horizontal="right" vertical="center"/>
    </xf>
    <xf numFmtId="4" fontId="60" fillId="2" borderId="104" xfId="0" applyNumberFormat="1" applyFont="1" applyFill="1" applyBorder="1" applyAlignment="1">
      <alignment horizontal="right" vertical="center"/>
    </xf>
    <xf numFmtId="4" fontId="58" fillId="2" borderId="0" xfId="0" applyNumberFormat="1" applyFont="1" applyFill="1" applyAlignment="1">
      <alignment horizontal="left"/>
    </xf>
    <xf numFmtId="4" fontId="12" fillId="2" borderId="69" xfId="0" applyNumberFormat="1" applyFont="1" applyFill="1" applyBorder="1" applyAlignment="1">
      <alignment horizontal="center" vertical="center"/>
    </xf>
    <xf numFmtId="4" fontId="12" fillId="2" borderId="71" xfId="0" applyNumberFormat="1" applyFont="1" applyFill="1" applyBorder="1" applyAlignment="1">
      <alignment horizontal="left" vertical="center"/>
    </xf>
    <xf numFmtId="4" fontId="12" fillId="2" borderId="71" xfId="0" applyNumberFormat="1" applyFont="1" applyFill="1" applyBorder="1" applyAlignment="1">
      <alignment horizontal="right" vertical="center"/>
    </xf>
    <xf numFmtId="4" fontId="61" fillId="2" borderId="104" xfId="0" applyNumberFormat="1" applyFont="1" applyFill="1" applyBorder="1" applyAlignment="1">
      <alignment horizontal="right" vertical="center"/>
    </xf>
    <xf numFmtId="4" fontId="61" fillId="12" borderId="104" xfId="0" applyNumberFormat="1" applyFont="1" applyFill="1" applyBorder="1" applyAlignment="1">
      <alignment horizontal="right" vertical="center"/>
    </xf>
    <xf numFmtId="4" fontId="18" fillId="12" borderId="104" xfId="0" applyNumberFormat="1" applyFont="1" applyFill="1" applyBorder="1" applyAlignment="1">
      <alignment horizontal="right" vertical="center"/>
    </xf>
    <xf numFmtId="4" fontId="17" fillId="2" borderId="0" xfId="0" applyNumberFormat="1" applyFont="1" applyFill="1" applyAlignment="1">
      <alignment horizontal="left"/>
    </xf>
    <xf numFmtId="4" fontId="1" fillId="2" borderId="0" xfId="0" applyNumberFormat="1" applyFont="1" applyFill="1" applyAlignment="1">
      <alignment vertical="center"/>
    </xf>
    <xf numFmtId="4" fontId="28" fillId="2" borderId="9" xfId="0" applyNumberFormat="1" applyFont="1" applyFill="1" applyBorder="1" applyAlignment="1">
      <alignment horizontal="left"/>
    </xf>
    <xf numFmtId="4" fontId="62" fillId="8" borderId="121" xfId="0" applyNumberFormat="1" applyFont="1" applyFill="1" applyBorder="1" applyAlignment="1">
      <alignment horizontal="right"/>
    </xf>
    <xf numFmtId="4" fontId="28" fillId="2" borderId="10" xfId="0" applyNumberFormat="1" applyFont="1" applyFill="1" applyBorder="1" applyAlignment="1">
      <alignment horizontal="left"/>
    </xf>
    <xf numFmtId="4" fontId="28" fillId="2" borderId="0" xfId="0" applyNumberFormat="1" applyFont="1" applyFill="1" applyAlignment="1">
      <alignment horizontal="left"/>
    </xf>
    <xf numFmtId="4" fontId="15" fillId="9" borderId="18" xfId="0" applyNumberFormat="1" applyFont="1" applyFill="1" applyBorder="1" applyAlignment="1">
      <alignment horizontal="right" vertical="center"/>
    </xf>
    <xf numFmtId="4" fontId="58" fillId="2" borderId="0" xfId="0" applyNumberFormat="1" applyFont="1" applyFill="1" applyAlignment="1">
      <alignment horizontal="center" vertical="center"/>
    </xf>
    <xf numFmtId="4" fontId="1" fillId="2" borderId="9" xfId="0" applyNumberFormat="1" applyFont="1" applyFill="1" applyBorder="1" applyAlignment="1">
      <alignment horizontal="left" vertical="center"/>
    </xf>
    <xf numFmtId="4" fontId="41" fillId="10" borderId="121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Alignment="1">
      <alignment horizontal="right" vertical="center"/>
    </xf>
    <xf numFmtId="4" fontId="41" fillId="6" borderId="0" xfId="0" applyNumberFormat="1" applyFont="1" applyFill="1" applyAlignment="1">
      <alignment horizontal="left"/>
    </xf>
    <xf numFmtId="4" fontId="41" fillId="6" borderId="0" xfId="0" applyNumberFormat="1" applyFont="1" applyFill="1" applyAlignment="1">
      <alignment horizontal="right"/>
    </xf>
    <xf numFmtId="4" fontId="16" fillId="3" borderId="18" xfId="0" applyNumberFormat="1" applyFont="1" applyFill="1" applyBorder="1" applyAlignment="1">
      <alignment horizontal="right" vertical="center"/>
    </xf>
    <xf numFmtId="4" fontId="16" fillId="3" borderId="15" xfId="0" applyNumberFormat="1" applyFont="1" applyFill="1" applyBorder="1" applyAlignment="1">
      <alignment horizontal="center" vertical="center"/>
    </xf>
    <xf numFmtId="4" fontId="15" fillId="2" borderId="69" xfId="0" applyNumberFormat="1" applyFont="1" applyFill="1" applyBorder="1" applyAlignment="1">
      <alignment horizontal="center" vertical="center"/>
    </xf>
    <xf numFmtId="4" fontId="15" fillId="2" borderId="71" xfId="0" applyNumberFormat="1" applyFont="1" applyFill="1" applyBorder="1" applyAlignment="1">
      <alignment horizontal="left" vertical="center"/>
    </xf>
    <xf numFmtId="4" fontId="15" fillId="2" borderId="71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Alignment="1">
      <alignment horizontal="left"/>
    </xf>
    <xf numFmtId="4" fontId="64" fillId="2" borderId="9" xfId="0" applyNumberFormat="1" applyFont="1" applyFill="1" applyBorder="1" applyAlignment="1">
      <alignment horizontal="left"/>
    </xf>
    <xf numFmtId="4" fontId="65" fillId="2" borderId="99" xfId="0" applyNumberFormat="1" applyFont="1" applyFill="1" applyBorder="1" applyAlignment="1">
      <alignment horizontal="center" vertical="center"/>
    </xf>
    <xf numFmtId="4" fontId="65" fillId="2" borderId="104" xfId="0" applyNumberFormat="1" applyFont="1" applyFill="1" applyBorder="1" applyAlignment="1">
      <alignment horizontal="left" vertical="center"/>
    </xf>
    <xf numFmtId="4" fontId="65" fillId="3" borderId="104" xfId="0" applyNumberFormat="1" applyFont="1" applyFill="1" applyBorder="1" applyAlignment="1">
      <alignment horizontal="right" vertical="center"/>
    </xf>
    <xf numFmtId="4" fontId="64" fillId="2" borderId="10" xfId="0" applyNumberFormat="1" applyFont="1" applyFill="1" applyBorder="1" applyAlignment="1">
      <alignment horizontal="left"/>
    </xf>
    <xf numFmtId="4" fontId="64" fillId="2" borderId="0" xfId="0" applyNumberFormat="1" applyFont="1" applyFill="1" applyAlignment="1">
      <alignment horizontal="left"/>
    </xf>
    <xf numFmtId="4" fontId="59" fillId="3" borderId="61" xfId="0" applyNumberFormat="1" applyFont="1" applyFill="1" applyBorder="1" applyAlignment="1">
      <alignment horizontal="right" vertical="center"/>
    </xf>
    <xf numFmtId="4" fontId="38" fillId="6" borderId="0" xfId="0" applyNumberFormat="1" applyFont="1" applyFill="1" applyAlignment="1">
      <alignment horizontal="left"/>
    </xf>
    <xf numFmtId="4" fontId="41" fillId="8" borderId="121" xfId="0" applyNumberFormat="1" applyFont="1" applyFill="1" applyBorder="1" applyAlignment="1">
      <alignment horizontal="right" vertical="center"/>
    </xf>
    <xf numFmtId="4" fontId="15" fillId="3" borderId="122" xfId="0" applyNumberFormat="1" applyFont="1" applyFill="1" applyBorder="1" applyAlignment="1">
      <alignment vertical="center"/>
    </xf>
    <xf numFmtId="4" fontId="17" fillId="3" borderId="123" xfId="0" applyNumberFormat="1" applyFont="1" applyFill="1" applyBorder="1" applyAlignment="1">
      <alignment horizontal="center" vertical="center"/>
    </xf>
    <xf numFmtId="4" fontId="15" fillId="3" borderId="123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vertical="center"/>
    </xf>
    <xf numFmtId="4" fontId="12" fillId="11" borderId="18" xfId="0" applyNumberFormat="1" applyFont="1" applyFill="1" applyBorder="1" applyAlignment="1">
      <alignment vertical="center"/>
    </xf>
    <xf numFmtId="4" fontId="12" fillId="11" borderId="18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vertical="center"/>
    </xf>
    <xf numFmtId="4" fontId="58" fillId="2" borderId="62" xfId="0" applyNumberFormat="1" applyFont="1" applyFill="1" applyBorder="1" applyAlignment="1">
      <alignment horizontal="center" vertical="center"/>
    </xf>
    <xf numFmtId="4" fontId="59" fillId="2" borderId="19" xfId="0" applyNumberFormat="1" applyFont="1" applyFill="1" applyBorder="1" applyAlignment="1">
      <alignment horizontal="left" vertical="center"/>
    </xf>
    <xf numFmtId="4" fontId="59" fillId="2" borderId="19" xfId="0" applyNumberFormat="1" applyFont="1" applyFill="1" applyBorder="1" applyAlignment="1">
      <alignment horizontal="right" vertical="center"/>
    </xf>
    <xf numFmtId="4" fontId="59" fillId="3" borderId="19" xfId="0" applyNumberFormat="1" applyFont="1" applyFill="1" applyBorder="1" applyAlignment="1">
      <alignment horizontal="right" vertical="center"/>
    </xf>
    <xf numFmtId="4" fontId="19" fillId="2" borderId="79" xfId="0" applyNumberFormat="1" applyFont="1" applyFill="1" applyBorder="1" applyAlignment="1">
      <alignment vertical="center"/>
    </xf>
    <xf numFmtId="4" fontId="59" fillId="2" borderId="0" xfId="0" applyNumberFormat="1" applyFont="1" applyFill="1" applyAlignment="1">
      <alignment horizontal="left" vertical="center"/>
    </xf>
    <xf numFmtId="4" fontId="41" fillId="2" borderId="0" xfId="0" applyNumberFormat="1" applyFont="1" applyFill="1" applyAlignment="1">
      <alignment horizontal="left" vertical="center"/>
    </xf>
    <xf numFmtId="4" fontId="41" fillId="2" borderId="0" xfId="0" applyNumberFormat="1" applyFont="1" applyFill="1" applyAlignment="1">
      <alignment horizontal="right" vertical="center"/>
    </xf>
    <xf numFmtId="4" fontId="63" fillId="2" borderId="0" xfId="0" applyNumberFormat="1" applyFont="1" applyFill="1" applyAlignment="1">
      <alignment horizontal="right" vertical="center"/>
    </xf>
    <xf numFmtId="4" fontId="19" fillId="2" borderId="0" xfId="0" applyNumberFormat="1" applyFont="1" applyFill="1" applyAlignment="1">
      <alignment vertical="center"/>
    </xf>
    <xf numFmtId="4" fontId="15" fillId="11" borderId="18" xfId="0" applyNumberFormat="1" applyFont="1" applyFill="1" applyBorder="1" applyAlignment="1">
      <alignment horizontal="right" vertical="center"/>
    </xf>
    <xf numFmtId="4" fontId="67" fillId="2" borderId="77" xfId="0" applyNumberFormat="1" applyFont="1" applyFill="1" applyBorder="1" applyAlignment="1">
      <alignment horizontal="left" vertical="center"/>
    </xf>
    <xf numFmtId="4" fontId="59" fillId="3" borderId="100" xfId="0" applyNumberFormat="1" applyFont="1" applyFill="1" applyBorder="1" applyAlignment="1">
      <alignment horizontal="right" vertical="center"/>
    </xf>
    <xf numFmtId="4" fontId="67" fillId="2" borderId="101" xfId="0" applyNumberFormat="1" applyFont="1" applyFill="1" applyBorder="1" applyAlignment="1">
      <alignment horizontal="left" vertical="center"/>
    </xf>
    <xf numFmtId="4" fontId="67" fillId="2" borderId="104" xfId="0" applyNumberFormat="1" applyFont="1" applyFill="1" applyBorder="1" applyAlignment="1">
      <alignment horizontal="right" vertical="center"/>
    </xf>
    <xf numFmtId="4" fontId="18" fillId="2" borderId="101" xfId="0" applyNumberFormat="1" applyFont="1" applyFill="1" applyBorder="1" applyAlignment="1">
      <alignment vertical="center"/>
    </xf>
    <xf numFmtId="4" fontId="67" fillId="2" borderId="99" xfId="0" applyNumberFormat="1" applyFont="1" applyFill="1" applyBorder="1" applyAlignment="1">
      <alignment horizontal="left" vertical="center"/>
    </xf>
    <xf numFmtId="4" fontId="59" fillId="3" borderId="182" xfId="0" applyNumberFormat="1" applyFont="1" applyFill="1" applyBorder="1" applyAlignment="1">
      <alignment horizontal="right" vertical="center"/>
    </xf>
    <xf numFmtId="4" fontId="66" fillId="2" borderId="182" xfId="0" applyNumberFormat="1" applyFont="1" applyFill="1" applyBorder="1" applyAlignment="1">
      <alignment horizontal="right" vertical="center"/>
    </xf>
    <xf numFmtId="4" fontId="23" fillId="2" borderId="11" xfId="0" applyNumberFormat="1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right"/>
    </xf>
    <xf numFmtId="4" fontId="23" fillId="2" borderId="13" xfId="0" applyNumberFormat="1" applyFont="1" applyFill="1" applyBorder="1" applyAlignment="1">
      <alignment horizontal="left"/>
    </xf>
    <xf numFmtId="4" fontId="20" fillId="2" borderId="0" xfId="0" applyNumberFormat="1" applyFont="1" applyFill="1" applyAlignment="1">
      <alignment horizontal="left"/>
    </xf>
    <xf numFmtId="4" fontId="26" fillId="2" borderId="0" xfId="0" applyNumberFormat="1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4" fontId="24" fillId="2" borderId="0" xfId="0" applyNumberFormat="1" applyFont="1" applyFill="1" applyAlignment="1">
      <alignment horizontal="right"/>
    </xf>
    <xf numFmtId="4" fontId="59" fillId="2" borderId="104" xfId="0" applyNumberFormat="1" applyFont="1" applyFill="1" applyBorder="1" applyAlignment="1" applyProtection="1">
      <alignment horizontal="right" vertical="center"/>
      <protection locked="0"/>
    </xf>
    <xf numFmtId="4" fontId="59" fillId="2" borderId="61" xfId="0" applyNumberFormat="1" applyFont="1" applyFill="1" applyBorder="1" applyAlignment="1" applyProtection="1">
      <alignment horizontal="right" vertical="center"/>
      <protection locked="0"/>
    </xf>
    <xf numFmtId="4" fontId="59" fillId="2" borderId="65" xfId="0" applyNumberFormat="1" applyFont="1" applyFill="1" applyBorder="1" applyAlignment="1" applyProtection="1">
      <alignment horizontal="right" vertical="center"/>
      <protection locked="0"/>
    </xf>
    <xf numFmtId="4" fontId="60" fillId="2" borderId="104" xfId="0" applyNumberFormat="1" applyFont="1" applyFill="1" applyBorder="1" applyAlignment="1" applyProtection="1">
      <alignment horizontal="right" vertical="center"/>
      <protection locked="0"/>
    </xf>
    <xf numFmtId="4" fontId="61" fillId="2" borderId="104" xfId="0" applyNumberFormat="1" applyFont="1" applyFill="1" applyBorder="1" applyAlignment="1" applyProtection="1">
      <alignment horizontal="right" vertical="center"/>
      <protection locked="0"/>
    </xf>
    <xf numFmtId="4" fontId="60" fillId="2" borderId="61" xfId="0" applyNumberFormat="1" applyFont="1" applyFill="1" applyBorder="1" applyAlignment="1" applyProtection="1">
      <alignment horizontal="right" vertical="center"/>
      <protection locked="0"/>
    </xf>
    <xf numFmtId="4" fontId="61" fillId="2" borderId="61" xfId="0" applyNumberFormat="1" applyFont="1" applyFill="1" applyBorder="1" applyAlignment="1" applyProtection="1">
      <alignment horizontal="right" vertical="center"/>
      <protection locked="0"/>
    </xf>
    <xf numFmtId="4" fontId="61" fillId="12" borderId="104" xfId="0" applyNumberFormat="1" applyFont="1" applyFill="1" applyBorder="1" applyAlignment="1" applyProtection="1">
      <alignment horizontal="right" vertical="center"/>
      <protection locked="0"/>
    </xf>
    <xf numFmtId="4" fontId="60" fillId="2" borderId="182" xfId="0" applyNumberFormat="1" applyFont="1" applyFill="1" applyBorder="1" applyAlignment="1" applyProtection="1">
      <alignment horizontal="right" vertical="center"/>
      <protection locked="0"/>
    </xf>
    <xf numFmtId="4" fontId="58" fillId="2" borderId="99" xfId="0" applyNumberFormat="1" applyFont="1" applyFill="1" applyBorder="1" applyAlignment="1" applyProtection="1">
      <alignment horizontal="center" vertical="center"/>
      <protection locked="0"/>
    </xf>
    <xf numFmtId="4" fontId="60" fillId="2" borderId="104" xfId="0" applyNumberFormat="1" applyFont="1" applyFill="1" applyBorder="1" applyAlignment="1" applyProtection="1">
      <alignment horizontal="left" vertical="center"/>
      <protection locked="0"/>
    </xf>
    <xf numFmtId="4" fontId="58" fillId="2" borderId="60" xfId="0" applyNumberFormat="1" applyFont="1" applyFill="1" applyBorder="1" applyAlignment="1" applyProtection="1">
      <alignment horizontal="center" vertical="center"/>
      <protection locked="0"/>
    </xf>
    <xf numFmtId="4" fontId="58" fillId="2" borderId="181" xfId="0" applyNumberFormat="1" applyFont="1" applyFill="1" applyBorder="1" applyAlignment="1" applyProtection="1">
      <alignment horizontal="center" vertical="center"/>
      <protection locked="0"/>
    </xf>
    <xf numFmtId="4" fontId="60" fillId="2" borderId="182" xfId="0" applyNumberFormat="1" applyFont="1" applyFill="1" applyBorder="1" applyAlignment="1" applyProtection="1">
      <alignment horizontal="left" vertical="center"/>
      <protection locked="0"/>
    </xf>
    <xf numFmtId="4" fontId="15" fillId="2" borderId="15" xfId="0" applyNumberFormat="1" applyFont="1" applyFill="1" applyBorder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left"/>
      <protection locked="0"/>
    </xf>
    <xf numFmtId="4" fontId="12" fillId="2" borderId="0" xfId="0" applyNumberFormat="1" applyFont="1" applyFill="1" applyAlignment="1" applyProtection="1">
      <alignment horizontal="left"/>
      <protection locked="0"/>
    </xf>
    <xf numFmtId="4" fontId="23" fillId="2" borderId="0" xfId="0" applyNumberFormat="1" applyFont="1" applyFill="1" applyAlignment="1" applyProtection="1">
      <alignment horizontal="left"/>
      <protection locked="0"/>
    </xf>
    <xf numFmtId="4" fontId="59" fillId="2" borderId="104" xfId="0" applyNumberFormat="1" applyFont="1" applyFill="1" applyBorder="1" applyAlignment="1" applyProtection="1">
      <alignment horizontal="left" vertical="center"/>
      <protection locked="0"/>
    </xf>
    <xf numFmtId="4" fontId="60" fillId="2" borderId="61" xfId="0" applyNumberFormat="1" applyFont="1" applyFill="1" applyBorder="1" applyAlignment="1" applyProtection="1">
      <alignment horizontal="left" vertical="center"/>
      <protection locked="0"/>
    </xf>
    <xf numFmtId="4" fontId="59" fillId="2" borderId="61" xfId="0" applyNumberFormat="1" applyFont="1" applyFill="1" applyBorder="1" applyAlignment="1" applyProtection="1">
      <alignment horizontal="left" vertical="center"/>
      <protection locked="0"/>
    </xf>
    <xf numFmtId="0" fontId="8" fillId="2" borderId="95" xfId="0" applyFont="1" applyFill="1" applyBorder="1" applyAlignment="1">
      <alignment vertical="center"/>
    </xf>
    <xf numFmtId="0" fontId="8" fillId="3" borderId="95" xfId="0" applyFont="1" applyFill="1" applyBorder="1" applyAlignment="1">
      <alignment vertical="center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12" fillId="3" borderId="210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center"/>
    </xf>
    <xf numFmtId="0" fontId="24" fillId="3" borderId="60" xfId="0" applyFont="1" applyFill="1" applyBorder="1" applyAlignment="1">
      <alignment horizontal="center"/>
    </xf>
    <xf numFmtId="4" fontId="12" fillId="2" borderId="0" xfId="0" applyNumberFormat="1" applyFont="1" applyFill="1"/>
    <xf numFmtId="4" fontId="12" fillId="2" borderId="124" xfId="0" applyNumberFormat="1" applyFont="1" applyFill="1" applyBorder="1"/>
    <xf numFmtId="4" fontId="26" fillId="2" borderId="27" xfId="0" applyNumberFormat="1" applyFont="1" applyFill="1" applyBorder="1"/>
    <xf numFmtId="0" fontId="1" fillId="2" borderId="152" xfId="0" applyFont="1" applyFill="1" applyBorder="1" applyAlignment="1" applyProtection="1">
      <alignment vertical="center"/>
      <protection locked="0"/>
    </xf>
    <xf numFmtId="0" fontId="1" fillId="2" borderId="3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4" fontId="1" fillId="2" borderId="68" xfId="0" applyNumberFormat="1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63" xfId="0" applyNumberFormat="1" applyFont="1" applyFill="1" applyBorder="1" applyAlignment="1" applyProtection="1">
      <alignment vertical="center"/>
      <protection locked="0"/>
    </xf>
    <xf numFmtId="4" fontId="1" fillId="2" borderId="99" xfId="0" applyNumberFormat="1" applyFont="1" applyFill="1" applyBorder="1" applyAlignment="1" applyProtection="1">
      <alignment vertical="center"/>
      <protection locked="0"/>
    </xf>
    <xf numFmtId="0" fontId="1" fillId="2" borderId="101" xfId="0" applyFont="1" applyFill="1" applyBorder="1" applyAlignment="1" applyProtection="1">
      <alignment horizontal="left" vertical="center"/>
      <protection locked="0"/>
    </xf>
    <xf numFmtId="0" fontId="1" fillId="2" borderId="101" xfId="0" applyFont="1" applyFill="1" applyBorder="1" applyAlignment="1" applyProtection="1">
      <alignment horizontal="center" vertical="center"/>
      <protection locked="0"/>
    </xf>
    <xf numFmtId="14" fontId="1" fillId="2" borderId="101" xfId="0" applyNumberFormat="1" applyFont="1" applyFill="1" applyBorder="1" applyAlignment="1" applyProtection="1">
      <alignment horizontal="center" vertical="center"/>
      <protection locked="0"/>
    </xf>
    <xf numFmtId="4" fontId="58" fillId="13" borderId="99" xfId="0" applyNumberFormat="1" applyFont="1" applyFill="1" applyBorder="1" applyAlignment="1">
      <alignment horizontal="center" vertical="center"/>
    </xf>
    <xf numFmtId="4" fontId="59" fillId="13" borderId="104" xfId="0" applyNumberFormat="1" applyFont="1" applyFill="1" applyBorder="1" applyAlignment="1">
      <alignment horizontal="left" vertical="center"/>
    </xf>
    <xf numFmtId="4" fontId="59" fillId="13" borderId="104" xfId="0" applyNumberFormat="1" applyFont="1" applyFill="1" applyBorder="1" applyAlignment="1">
      <alignment horizontal="right" vertical="center"/>
    </xf>
    <xf numFmtId="4" fontId="53" fillId="13" borderId="15" xfId="0" applyNumberFormat="1" applyFont="1" applyFill="1" applyBorder="1" applyAlignment="1" applyProtection="1">
      <alignment horizontal="left"/>
      <protection locked="0"/>
    </xf>
    <xf numFmtId="4" fontId="58" fillId="13" borderId="104" xfId="0" applyNumberFormat="1" applyFont="1" applyFill="1" applyBorder="1" applyAlignment="1">
      <alignment horizontal="right" vertical="center"/>
    </xf>
    <xf numFmtId="4" fontId="23" fillId="0" borderId="9" xfId="0" applyNumberFormat="1" applyFont="1" applyBorder="1" applyAlignment="1" applyProtection="1">
      <alignment horizontal="left" vertical="center"/>
      <protection locked="0"/>
    </xf>
    <xf numFmtId="4" fontId="23" fillId="0" borderId="0" xfId="0" applyNumberFormat="1" applyFont="1" applyAlignment="1" applyProtection="1">
      <alignment horizontal="left" vertical="center"/>
      <protection locked="0"/>
    </xf>
    <xf numFmtId="0" fontId="15" fillId="3" borderId="122" xfId="0" applyFont="1" applyFill="1" applyBorder="1" applyAlignment="1">
      <alignment vertical="center"/>
    </xf>
    <xf numFmtId="0" fontId="17" fillId="3" borderId="123" xfId="0" applyFont="1" applyFill="1" applyBorder="1" applyAlignment="1">
      <alignment horizontal="center" vertical="center"/>
    </xf>
    <xf numFmtId="4" fontId="15" fillId="3" borderId="220" xfId="0" applyNumberFormat="1" applyFont="1" applyFill="1" applyBorder="1" applyAlignment="1">
      <alignment vertical="center"/>
    </xf>
    <xf numFmtId="4" fontId="1" fillId="2" borderId="66" xfId="0" applyNumberFormat="1" applyFont="1" applyFill="1" applyBorder="1" applyAlignment="1" applyProtection="1">
      <alignment horizontal="left" vertical="center"/>
      <protection locked="0"/>
    </xf>
    <xf numFmtId="4" fontId="1" fillId="2" borderId="152" xfId="0" applyNumberFormat="1" applyFont="1" applyFill="1" applyBorder="1" applyAlignment="1" applyProtection="1">
      <alignment horizontal="left" vertical="center"/>
      <protection locked="0"/>
    </xf>
    <xf numFmtId="0" fontId="1" fillId="2" borderId="93" xfId="0" applyFont="1" applyFill="1" applyBorder="1" applyAlignment="1" applyProtection="1">
      <alignment vertical="center"/>
      <protection locked="0"/>
    </xf>
    <xf numFmtId="0" fontId="8" fillId="2" borderId="98" xfId="0" applyFont="1" applyFill="1" applyBorder="1" applyAlignment="1" applyProtection="1">
      <alignment vertical="center"/>
      <protection locked="0"/>
    </xf>
    <xf numFmtId="4" fontId="6" fillId="2" borderId="98" xfId="0" applyNumberFormat="1" applyFont="1" applyFill="1" applyBorder="1" applyAlignment="1" applyProtection="1">
      <alignment horizontal="left" vertical="center"/>
      <protection locked="0"/>
    </xf>
    <xf numFmtId="4" fontId="1" fillId="2" borderId="93" xfId="0" applyNumberFormat="1" applyFont="1" applyFill="1" applyBorder="1" applyAlignment="1" applyProtection="1">
      <alignment horizontal="left" vertical="center"/>
      <protection locked="0"/>
    </xf>
    <xf numFmtId="0" fontId="1" fillId="2" borderId="69" xfId="0" applyFont="1" applyFill="1" applyBorder="1" applyAlignment="1" applyProtection="1">
      <alignment vertical="center"/>
      <protection locked="0"/>
    </xf>
    <xf numFmtId="4" fontId="1" fillId="2" borderId="75" xfId="0" applyNumberFormat="1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  <protection locked="0"/>
    </xf>
    <xf numFmtId="49" fontId="12" fillId="2" borderId="65" xfId="0" applyNumberFormat="1" applyFont="1" applyFill="1" applyBorder="1" applyAlignment="1" applyProtection="1">
      <alignment horizontal="center" vertical="center"/>
      <protection locked="0"/>
    </xf>
    <xf numFmtId="49" fontId="8" fillId="2" borderId="65" xfId="0" applyNumberFormat="1" applyFont="1" applyFill="1" applyBorder="1" applyAlignment="1" applyProtection="1">
      <alignment horizontal="center" vertical="center"/>
      <protection locked="0"/>
    </xf>
    <xf numFmtId="49" fontId="12" fillId="2" borderId="104" xfId="0" applyNumberFormat="1" applyFont="1" applyFill="1" applyBorder="1" applyAlignment="1" applyProtection="1">
      <alignment horizontal="center" vertical="center"/>
      <protection locked="0"/>
    </xf>
    <xf numFmtId="49" fontId="8" fillId="2" borderId="104" xfId="0" applyNumberFormat="1" applyFont="1" applyFill="1" applyBorder="1" applyAlignment="1" applyProtection="1">
      <alignment horizontal="center" vertical="center"/>
      <protection locked="0"/>
    </xf>
    <xf numFmtId="49" fontId="1" fillId="2" borderId="104" xfId="0" applyNumberFormat="1" applyFont="1" applyFill="1" applyBorder="1" applyAlignment="1" applyProtection="1">
      <alignment horizontal="center" vertical="center"/>
      <protection locked="0"/>
    </xf>
    <xf numFmtId="49" fontId="12" fillId="0" borderId="98" xfId="0" applyNumberFormat="1" applyFont="1" applyBorder="1" applyAlignment="1" applyProtection="1">
      <alignment horizontal="center" vertical="center"/>
      <protection locked="0"/>
    </xf>
    <xf numFmtId="49" fontId="8" fillId="0" borderId="98" xfId="0" applyNumberFormat="1" applyFont="1" applyBorder="1" applyAlignment="1" applyProtection="1">
      <alignment horizontal="center" vertical="center"/>
      <protection locked="0"/>
    </xf>
    <xf numFmtId="49" fontId="12" fillId="0" borderId="104" xfId="0" applyNumberFormat="1" applyFont="1" applyBorder="1" applyAlignment="1" applyProtection="1">
      <alignment horizontal="center" vertical="center"/>
      <protection locked="0"/>
    </xf>
    <xf numFmtId="49" fontId="8" fillId="0" borderId="104" xfId="0" applyNumberFormat="1" applyFont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23" fillId="2" borderId="1" xfId="0" applyFont="1" applyFill="1" applyBorder="1" applyAlignment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>
      <alignment horizontal="right"/>
    </xf>
    <xf numFmtId="0" fontId="20" fillId="6" borderId="1" xfId="0" applyFont="1" applyFill="1" applyBorder="1" applyAlignment="1">
      <alignment horizontal="right"/>
    </xf>
    <xf numFmtId="4" fontId="24" fillId="3" borderId="57" xfId="0" applyNumberFormat="1" applyFont="1" applyFill="1" applyBorder="1" applyAlignment="1">
      <alignment horizontal="center" vertical="center"/>
    </xf>
    <xf numFmtId="4" fontId="24" fillId="3" borderId="58" xfId="0" applyNumberFormat="1" applyFont="1" applyFill="1" applyBorder="1" applyAlignment="1">
      <alignment horizontal="center" vertical="center"/>
    </xf>
    <xf numFmtId="4" fontId="24" fillId="3" borderId="59" xfId="0" applyNumberFormat="1" applyFont="1" applyFill="1" applyBorder="1" applyAlignment="1">
      <alignment horizontal="center" vertical="center"/>
    </xf>
    <xf numFmtId="4" fontId="24" fillId="3" borderId="62" xfId="0" applyNumberFormat="1" applyFont="1" applyFill="1" applyBorder="1" applyAlignment="1">
      <alignment horizontal="center" vertical="center"/>
    </xf>
    <xf numFmtId="4" fontId="24" fillId="3" borderId="20" xfId="0" applyNumberFormat="1" applyFont="1" applyFill="1" applyBorder="1" applyAlignment="1">
      <alignment horizontal="center" vertical="center"/>
    </xf>
    <xf numFmtId="4" fontId="24" fillId="3" borderId="1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24" fillId="3" borderId="76" xfId="0" applyNumberFormat="1" applyFont="1" applyFill="1" applyBorder="1" applyAlignment="1">
      <alignment horizontal="center" vertical="center"/>
    </xf>
    <xf numFmtId="4" fontId="24" fillId="3" borderId="80" xfId="0" applyNumberFormat="1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2" borderId="63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5" fillId="2" borderId="68" xfId="0" applyFont="1" applyFill="1" applyBorder="1" applyAlignment="1">
      <alignment horizontal="left" vertical="center"/>
    </xf>
    <xf numFmtId="4" fontId="12" fillId="2" borderId="212" xfId="0" applyNumberFormat="1" applyFont="1" applyFill="1" applyBorder="1" applyAlignment="1" applyProtection="1">
      <alignment horizontal="left"/>
      <protection locked="0"/>
    </xf>
    <xf numFmtId="4" fontId="12" fillId="2" borderId="213" xfId="0" applyNumberFormat="1" applyFont="1" applyFill="1" applyBorder="1" applyAlignment="1" applyProtection="1">
      <alignment horizontal="left"/>
      <protection locked="0"/>
    </xf>
    <xf numFmtId="4" fontId="12" fillId="2" borderId="214" xfId="0" applyNumberFormat="1" applyFont="1" applyFill="1" applyBorder="1" applyAlignment="1" applyProtection="1">
      <alignment horizontal="left"/>
      <protection locked="0"/>
    </xf>
    <xf numFmtId="0" fontId="16" fillId="3" borderId="31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6" fillId="3" borderId="211" xfId="0" applyFont="1" applyFill="1" applyBorder="1" applyAlignment="1">
      <alignment horizontal="left" vertical="center"/>
    </xf>
    <xf numFmtId="0" fontId="16" fillId="3" borderId="61" xfId="0" applyFont="1" applyFill="1" applyBorder="1" applyAlignment="1">
      <alignment horizontal="left" vertical="center"/>
    </xf>
    <xf numFmtId="4" fontId="9" fillId="2" borderId="138" xfId="0" applyNumberFormat="1" applyFont="1" applyFill="1" applyBorder="1" applyAlignment="1" applyProtection="1">
      <alignment horizontal="left"/>
      <protection locked="0"/>
    </xf>
    <xf numFmtId="4" fontId="9" fillId="2" borderId="23" xfId="0" applyNumberFormat="1" applyFont="1" applyFill="1" applyBorder="1" applyAlignment="1" applyProtection="1">
      <alignment horizontal="left"/>
      <protection locked="0"/>
    </xf>
    <xf numFmtId="4" fontId="9" fillId="2" borderId="216" xfId="0" applyNumberFormat="1" applyFont="1" applyFill="1" applyBorder="1" applyAlignment="1" applyProtection="1">
      <alignment horizontal="left"/>
      <protection locked="0"/>
    </xf>
    <xf numFmtId="4" fontId="12" fillId="2" borderId="217" xfId="0" applyNumberFormat="1" applyFont="1" applyFill="1" applyBorder="1" applyAlignment="1" applyProtection="1">
      <alignment horizontal="left"/>
      <protection locked="0"/>
    </xf>
    <xf numFmtId="4" fontId="12" fillId="2" borderId="218" xfId="0" applyNumberFormat="1" applyFont="1" applyFill="1" applyBorder="1" applyAlignment="1" applyProtection="1">
      <alignment horizontal="left"/>
      <protection locked="0"/>
    </xf>
    <xf numFmtId="4" fontId="12" fillId="2" borderId="219" xfId="0" applyNumberFormat="1" applyFont="1" applyFill="1" applyBorder="1" applyAlignment="1" applyProtection="1">
      <alignment horizontal="left"/>
      <protection locked="0"/>
    </xf>
    <xf numFmtId="4" fontId="9" fillId="2" borderId="136" xfId="0" applyNumberFormat="1" applyFont="1" applyFill="1" applyBorder="1" applyAlignment="1" applyProtection="1">
      <alignment horizontal="left"/>
      <protection locked="0"/>
    </xf>
    <xf numFmtId="4" fontId="9" fillId="2" borderId="22" xfId="0" applyNumberFormat="1" applyFont="1" applyFill="1" applyBorder="1" applyAlignment="1" applyProtection="1">
      <alignment horizontal="left"/>
      <protection locked="0"/>
    </xf>
    <xf numFmtId="4" fontId="9" fillId="2" borderId="215" xfId="0" applyNumberFormat="1" applyFont="1" applyFill="1" applyBorder="1" applyAlignment="1" applyProtection="1">
      <alignment horizontal="left"/>
      <protection locked="0"/>
    </xf>
    <xf numFmtId="0" fontId="12" fillId="3" borderId="210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124" xfId="0" applyFont="1" applyFill="1" applyBorder="1" applyAlignment="1">
      <alignment horizontal="left"/>
    </xf>
    <xf numFmtId="0" fontId="23" fillId="2" borderId="60" xfId="0" applyFont="1" applyFill="1" applyBorder="1" applyAlignment="1" applyProtection="1">
      <alignment horizontal="left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3" fillId="2" borderId="124" xfId="0" applyFont="1" applyFill="1" applyBorder="1" applyAlignment="1" applyProtection="1">
      <alignment horizontal="left"/>
      <protection locked="0"/>
    </xf>
    <xf numFmtId="0" fontId="23" fillId="2" borderId="134" xfId="0" applyFont="1" applyFill="1" applyBorder="1" applyAlignment="1" applyProtection="1">
      <alignment horizontal="left"/>
      <protection locked="0"/>
    </xf>
    <xf numFmtId="0" fontId="23" fillId="2" borderId="21" xfId="0" applyFont="1" applyFill="1" applyBorder="1" applyAlignment="1" applyProtection="1">
      <alignment horizontal="left"/>
      <protection locked="0"/>
    </xf>
    <xf numFmtId="0" fontId="23" fillId="2" borderId="35" xfId="0" applyFont="1" applyFill="1" applyBorder="1" applyAlignment="1" applyProtection="1">
      <alignment horizontal="left"/>
      <protection locked="0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1" fillId="2" borderId="68" xfId="0" applyFont="1" applyFill="1" applyBorder="1" applyAlignment="1" applyProtection="1">
      <alignment horizontal="left" vertical="center"/>
      <protection locked="0"/>
    </xf>
    <xf numFmtId="0" fontId="1" fillId="2" borderId="152" xfId="0" applyFont="1" applyFill="1" applyBorder="1" applyAlignment="1" applyProtection="1">
      <alignment horizontal="left" vertical="center"/>
      <protection locked="0"/>
    </xf>
    <xf numFmtId="0" fontId="8" fillId="2" borderId="153" xfId="0" applyFont="1" applyFill="1" applyBorder="1" applyAlignment="1" applyProtection="1">
      <alignment horizontal="left" vertical="center"/>
      <protection locked="0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" fillId="2" borderId="153" xfId="0" applyFont="1" applyFill="1" applyBorder="1" applyAlignment="1" applyProtection="1">
      <alignment horizontal="left" vertical="center"/>
      <protection locked="0"/>
    </xf>
    <xf numFmtId="4" fontId="1" fillId="2" borderId="66" xfId="0" applyNumberFormat="1" applyFont="1" applyFill="1" applyBorder="1" applyAlignment="1" applyProtection="1">
      <alignment horizontal="left" vertical="center"/>
      <protection locked="0"/>
    </xf>
    <xf numFmtId="4" fontId="1" fillId="2" borderId="68" xfId="0" applyNumberFormat="1" applyFont="1" applyFill="1" applyBorder="1" applyAlignment="1" applyProtection="1">
      <alignment horizontal="left" vertical="center"/>
      <protection locked="0"/>
    </xf>
    <xf numFmtId="4" fontId="1" fillId="2" borderId="69" xfId="0" applyNumberFormat="1" applyFont="1" applyFill="1" applyBorder="1" applyAlignment="1" applyProtection="1">
      <alignment horizontal="left" vertical="center"/>
      <protection locked="0"/>
    </xf>
    <xf numFmtId="4" fontId="6" fillId="2" borderId="71" xfId="0" applyNumberFormat="1" applyFont="1" applyFill="1" applyBorder="1" applyAlignment="1" applyProtection="1">
      <alignment horizontal="left" vertical="center"/>
      <protection locked="0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33" fillId="3" borderId="62" xfId="132" applyFont="1" applyFill="1" applyBorder="1" applyAlignment="1">
      <alignment horizontal="center" vertical="center" wrapText="1"/>
    </xf>
    <xf numFmtId="0" fontId="33" fillId="3" borderId="19" xfId="132" applyFont="1" applyFill="1" applyBorder="1" applyAlignment="1">
      <alignment horizontal="center" vertical="center" wrapText="1"/>
    </xf>
    <xf numFmtId="0" fontId="33" fillId="3" borderId="205" xfId="132" applyFont="1" applyFill="1" applyBorder="1" applyAlignment="1">
      <alignment horizontal="center" vertical="center" wrapText="1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33" fillId="3" borderId="58" xfId="132" applyFont="1" applyFill="1" applyBorder="1" applyAlignment="1">
      <alignment horizontal="center" vertical="center" wrapText="1"/>
    </xf>
    <xf numFmtId="0" fontId="33" fillId="3" borderId="59" xfId="132" applyFont="1" applyFill="1" applyBorder="1" applyAlignment="1">
      <alignment horizontal="center" vertical="center" wrapText="1"/>
    </xf>
    <xf numFmtId="0" fontId="33" fillId="3" borderId="57" xfId="132" applyFont="1" applyFill="1" applyBorder="1" applyAlignment="1">
      <alignment horizontal="center" vertical="center" wrapText="1"/>
    </xf>
    <xf numFmtId="0" fontId="33" fillId="3" borderId="20" xfId="132" applyFont="1" applyFill="1" applyBorder="1" applyAlignment="1">
      <alignment horizontal="center" vertical="center" wrapText="1"/>
    </xf>
    <xf numFmtId="0" fontId="33" fillId="3" borderId="206" xfId="132" applyFont="1" applyFill="1" applyBorder="1" applyAlignment="1">
      <alignment horizontal="center" vertical="center" wrapText="1"/>
    </xf>
    <xf numFmtId="0" fontId="33" fillId="3" borderId="17" xfId="132" applyFont="1" applyFill="1" applyBorder="1" applyAlignment="1">
      <alignment horizontal="center" vertical="center" wrapText="1"/>
    </xf>
    <xf numFmtId="0" fontId="33" fillId="3" borderId="192" xfId="132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4" fontId="1" fillId="2" borderId="63" xfId="0" applyNumberFormat="1" applyFont="1" applyFill="1" applyBorder="1" applyAlignment="1" applyProtection="1">
      <alignment horizontal="left" vertical="center"/>
      <protection locked="0"/>
    </xf>
    <xf numFmtId="4" fontId="6" fillId="2" borderId="65" xfId="0" applyNumberFormat="1" applyFont="1" applyFill="1" applyBorder="1" applyAlignment="1" applyProtection="1">
      <alignment horizontal="left" vertical="center"/>
      <protection locked="0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4" fontId="6" fillId="2" borderId="68" xfId="0" applyNumberFormat="1" applyFont="1" applyFill="1" applyBorder="1" applyAlignment="1" applyProtection="1">
      <alignment horizontal="left" vertical="center"/>
      <protection locked="0"/>
    </xf>
    <xf numFmtId="4" fontId="6" fillId="2" borderId="66" xfId="0" applyNumberFormat="1" applyFont="1" applyFill="1" applyBorder="1" applyAlignment="1" applyProtection="1">
      <alignment horizontal="center" vertical="center"/>
      <protection locked="0"/>
    </xf>
    <xf numFmtId="4" fontId="6" fillId="2" borderId="68" xfId="0" applyNumberFormat="1" applyFont="1" applyFill="1" applyBorder="1" applyAlignment="1" applyProtection="1">
      <alignment horizontal="center" vertical="center"/>
      <protection locked="0"/>
    </xf>
    <xf numFmtId="4" fontId="6" fillId="2" borderId="66" xfId="0" applyNumberFormat="1" applyFont="1" applyFill="1" applyBorder="1" applyAlignment="1" applyProtection="1">
      <alignment horizontal="left" vertical="center"/>
      <protection locked="0"/>
    </xf>
    <xf numFmtId="4" fontId="6" fillId="2" borderId="69" xfId="0" applyNumberFormat="1" applyFont="1" applyFill="1" applyBorder="1" applyAlignment="1" applyProtection="1">
      <alignment horizontal="left" vertical="center"/>
      <protection locked="0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  <xf numFmtId="4" fontId="67" fillId="2" borderId="207" xfId="0" applyNumberFormat="1" applyFont="1" applyFill="1" applyBorder="1" applyAlignment="1">
      <alignment horizontal="right" vertical="center"/>
    </xf>
    <xf numFmtId="4" fontId="67" fillId="2" borderId="208" xfId="0" applyNumberFormat="1" applyFont="1" applyFill="1" applyBorder="1" applyAlignment="1">
      <alignment horizontal="right" vertical="center"/>
    </xf>
    <xf numFmtId="4" fontId="67" fillId="2" borderId="209" xfId="0" applyNumberFormat="1" applyFont="1" applyFill="1" applyBorder="1" applyAlignment="1">
      <alignment horizontal="right" vertical="center"/>
    </xf>
    <xf numFmtId="4" fontId="15" fillId="3" borderId="16" xfId="0" applyNumberFormat="1" applyFont="1" applyFill="1" applyBorder="1" applyAlignment="1">
      <alignment horizontal="left" vertical="center"/>
    </xf>
    <xf numFmtId="4" fontId="15" fillId="3" borderId="18" xfId="0" applyNumberFormat="1" applyFont="1" applyFill="1" applyBorder="1" applyAlignment="1">
      <alignment horizontal="left" vertical="center"/>
    </xf>
    <xf numFmtId="3" fontId="14" fillId="3" borderId="0" xfId="0" applyNumberFormat="1" applyFont="1" applyFill="1" applyAlignment="1">
      <alignment horizontal="center" vertical="center"/>
    </xf>
    <xf numFmtId="4" fontId="12" fillId="4" borderId="0" xfId="0" applyNumberFormat="1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4" fontId="16" fillId="3" borderId="16" xfId="0" applyNumberFormat="1" applyFont="1" applyFill="1" applyBorder="1" applyAlignment="1">
      <alignment horizontal="center" vertical="center"/>
    </xf>
    <xf numFmtId="4" fontId="16" fillId="3" borderId="18" xfId="0" applyNumberFormat="1" applyFont="1" applyFill="1" applyBorder="1" applyAlignment="1">
      <alignment horizontal="center" vertical="center"/>
    </xf>
    <xf numFmtId="4" fontId="15" fillId="3" borderId="16" xfId="0" applyNumberFormat="1" applyFont="1" applyFill="1" applyBorder="1" applyAlignment="1">
      <alignment vertical="center"/>
    </xf>
    <xf numFmtId="4" fontId="15" fillId="3" borderId="18" xfId="0" applyNumberFormat="1" applyFont="1" applyFill="1" applyBorder="1" applyAlignment="1">
      <alignment vertical="center"/>
    </xf>
    <xf numFmtId="4" fontId="23" fillId="2" borderId="12" xfId="0" applyNumberFormat="1" applyFont="1" applyFill="1" applyBorder="1" applyAlignment="1">
      <alignment horizontal="left"/>
    </xf>
    <xf numFmtId="4" fontId="41" fillId="10" borderId="120" xfId="0" applyNumberFormat="1" applyFont="1" applyFill="1" applyBorder="1" applyAlignment="1">
      <alignment horizontal="left" vertical="center"/>
    </xf>
    <xf numFmtId="4" fontId="41" fillId="10" borderId="121" xfId="0" applyNumberFormat="1" applyFont="1" applyFill="1" applyBorder="1" applyAlignment="1">
      <alignment horizontal="left" vertical="center"/>
    </xf>
    <xf numFmtId="4" fontId="62" fillId="8" borderId="120" xfId="0" applyNumberFormat="1" applyFont="1" applyFill="1" applyBorder="1" applyAlignment="1">
      <alignment horizontal="left"/>
    </xf>
    <xf numFmtId="4" fontId="62" fillId="8" borderId="121" xfId="0" applyNumberFormat="1" applyFont="1" applyFill="1" applyBorder="1" applyAlignment="1">
      <alignment horizontal="left"/>
    </xf>
    <xf numFmtId="4" fontId="15" fillId="9" borderId="16" xfId="0" applyNumberFormat="1" applyFont="1" applyFill="1" applyBorder="1" applyAlignment="1">
      <alignment horizontal="left" vertical="center"/>
    </xf>
    <xf numFmtId="4" fontId="15" fillId="9" borderId="18" xfId="0" applyNumberFormat="1" applyFont="1" applyFill="1" applyBorder="1" applyAlignment="1">
      <alignment horizontal="left" vertical="center"/>
    </xf>
    <xf numFmtId="4" fontId="41" fillId="8" borderId="120" xfId="0" applyNumberFormat="1" applyFont="1" applyFill="1" applyBorder="1" applyAlignment="1">
      <alignment horizontal="left" vertical="center"/>
    </xf>
    <xf numFmtId="4" fontId="41" fillId="8" borderId="121" xfId="0" applyNumberFormat="1" applyFont="1" applyFill="1" applyBorder="1" applyAlignment="1">
      <alignment horizontal="left" vertical="center"/>
    </xf>
    <xf numFmtId="4" fontId="12" fillId="11" borderId="16" xfId="0" applyNumberFormat="1" applyFont="1" applyFill="1" applyBorder="1" applyAlignment="1">
      <alignment vertical="center"/>
    </xf>
    <xf numFmtId="4" fontId="12" fillId="11" borderId="18" xfId="0" applyNumberFormat="1" applyFont="1" applyFill="1" applyBorder="1" applyAlignment="1">
      <alignment vertical="center"/>
    </xf>
    <xf numFmtId="4" fontId="15" fillId="11" borderId="16" xfId="0" applyNumberFormat="1" applyFont="1" applyFill="1" applyBorder="1" applyAlignment="1">
      <alignment horizontal="left" vertical="center"/>
    </xf>
    <xf numFmtId="4" fontId="15" fillId="11" borderId="18" xfId="0" applyNumberFormat="1" applyFont="1" applyFill="1" applyBorder="1" applyAlignment="1">
      <alignment horizontal="left" vertical="center"/>
    </xf>
  </cellXfs>
  <cellStyles count="116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" xfId="1041" builtinId="8" hidden="1"/>
    <cellStyle name="Hipervínculo" xfId="1043" builtinId="8" hidden="1"/>
    <cellStyle name="Hipervínculo" xfId="1045" builtinId="8" hidden="1"/>
    <cellStyle name="Hipervínculo" xfId="1047" builtinId="8" hidden="1"/>
    <cellStyle name="Hipervínculo" xfId="1049" builtinId="8" hidden="1"/>
    <cellStyle name="Hipervínculo" xfId="1051" builtinId="8" hidden="1"/>
    <cellStyle name="Hipervínculo" xfId="1053" builtinId="8" hidden="1"/>
    <cellStyle name="Hipervínculo" xfId="1055" builtinId="8" hidden="1"/>
    <cellStyle name="Hipervínculo" xfId="1057" builtinId="8" hidden="1"/>
    <cellStyle name="Hipervínculo" xfId="1059" builtinId="8" hidden="1"/>
    <cellStyle name="Hipervínculo" xfId="1061" builtinId="8" hidden="1"/>
    <cellStyle name="Hipervínculo" xfId="1063" builtinId="8" hidden="1"/>
    <cellStyle name="Hipervínculo" xfId="1065" builtinId="8" hidden="1"/>
    <cellStyle name="Hipervínculo" xfId="1067" builtinId="8" hidden="1"/>
    <cellStyle name="Hipervínculo" xfId="1069" builtinId="8" hidden="1"/>
    <cellStyle name="Hipervínculo" xfId="1071" builtinId="8" hidden="1"/>
    <cellStyle name="Hipervínculo" xfId="1073" builtinId="8" hidden="1"/>
    <cellStyle name="Hipervínculo" xfId="1075" builtinId="8" hidden="1"/>
    <cellStyle name="Hipervínculo" xfId="1077" builtinId="8" hidden="1"/>
    <cellStyle name="Hipervínculo" xfId="1079" builtinId="8" hidden="1"/>
    <cellStyle name="Hipervínculo" xfId="1081" builtinId="8" hidden="1"/>
    <cellStyle name="Hipervínculo" xfId="1083" builtinId="8" hidden="1"/>
    <cellStyle name="Hipervínculo" xfId="1085" builtinId="8" hidden="1"/>
    <cellStyle name="Hipervínculo" xfId="1087" builtinId="8" hidden="1"/>
    <cellStyle name="Hipervínculo" xfId="1089" builtinId="8" hidden="1"/>
    <cellStyle name="Hipervínculo" xfId="1091" builtinId="8" hidden="1"/>
    <cellStyle name="Hipervínculo" xfId="1093" builtinId="8" hidden="1"/>
    <cellStyle name="Hipervínculo" xfId="1095" builtinId="8" hidden="1"/>
    <cellStyle name="Hipervínculo" xfId="1097" builtinId="8" hidden="1"/>
    <cellStyle name="Hipervínculo" xfId="1099" builtinId="8" hidden="1"/>
    <cellStyle name="Hipervínculo" xfId="1101" builtinId="8" hidden="1"/>
    <cellStyle name="Hipervínculo" xfId="1103" builtinId="8" hidden="1"/>
    <cellStyle name="Hipervínculo" xfId="1105" builtinId="8" hidden="1"/>
    <cellStyle name="Hipervínculo" xfId="1107" builtinId="8" hidden="1"/>
    <cellStyle name="Hipervínculo" xfId="1109" builtinId="8" hidden="1"/>
    <cellStyle name="Hipervínculo" xfId="1111" builtinId="8" hidden="1"/>
    <cellStyle name="Hipervínculo" xfId="1113" builtinId="8" hidden="1"/>
    <cellStyle name="Hipervínculo" xfId="1115" builtinId="8" hidden="1"/>
    <cellStyle name="Hipervínculo" xfId="1117" builtinId="8" hidden="1"/>
    <cellStyle name="Hipervínculo" xfId="1119" builtinId="8" hidden="1"/>
    <cellStyle name="Hipervínculo" xfId="1121" builtinId="8" hidden="1"/>
    <cellStyle name="Hipervínculo" xfId="1123" builtinId="8" hidden="1"/>
    <cellStyle name="Hipervínculo" xfId="1125" builtinId="8" hidden="1"/>
    <cellStyle name="Hipervínculo" xfId="1127" builtinId="8" hidden="1"/>
    <cellStyle name="Hipervínculo" xfId="1129" builtinId="8" hidden="1"/>
    <cellStyle name="Hipervínculo" xfId="1131" builtinId="8" hidden="1"/>
    <cellStyle name="Hipervínculo" xfId="1133" builtinId="8" hidden="1"/>
    <cellStyle name="Hipervínculo" xfId="1135" builtinId="8" hidden="1"/>
    <cellStyle name="Hipervínculo" xfId="1137" builtinId="8" hidden="1"/>
    <cellStyle name="Hipervínculo" xfId="1139" builtinId="8" hidden="1"/>
    <cellStyle name="Hipervínculo" xfId="1141" builtinId="8" hidden="1"/>
    <cellStyle name="Hipervínculo" xfId="1143" builtinId="8" hidden="1"/>
    <cellStyle name="Hipervínculo" xfId="1145" builtinId="8" hidden="1"/>
    <cellStyle name="Hipervínculo" xfId="1147" builtinId="8" hidden="1"/>
    <cellStyle name="Hipervínculo" xfId="1149" builtinId="8" hidden="1"/>
    <cellStyle name="Hipervínculo" xfId="1151" builtinId="8" hidden="1"/>
    <cellStyle name="Hipervínculo" xfId="1153" builtinId="8" hidden="1"/>
    <cellStyle name="Hipervínculo" xfId="1155" builtinId="8" hidden="1"/>
    <cellStyle name="Hipervínculo" xfId="1157" builtinId="8" hidden="1"/>
    <cellStyle name="Hipervínculo" xfId="1159" builtinId="8" hidden="1"/>
    <cellStyle name="Hipervínculo" xfId="1161" builtinId="8" hidden="1"/>
    <cellStyle name="Hipervínculo" xfId="1163" builtinId="8" hidden="1"/>
    <cellStyle name="Hipervínculo" xfId="1165" builtinId="8" hidden="1"/>
    <cellStyle name="Hipervínculo" xfId="1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48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6" builtinId="9" hidden="1"/>
    <cellStyle name="Hipervínculo visitado" xfId="1058" builtinId="9" hidden="1"/>
    <cellStyle name="Hipervínculo visitado" xfId="1060" builtinId="9" hidden="1"/>
    <cellStyle name="Hipervínculo visitado" xfId="1062" builtinId="9" hidden="1"/>
    <cellStyle name="Hipervínculo visitado" xfId="1064" builtinId="9" hidden="1"/>
    <cellStyle name="Hipervínculo visitado" xfId="1066" builtinId="9" hidden="1"/>
    <cellStyle name="Hipervínculo visitado" xfId="1068" builtinId="9" hidden="1"/>
    <cellStyle name="Hipervínculo visitado" xfId="1070" builtinId="9" hidden="1"/>
    <cellStyle name="Hipervínculo visitado" xfId="1072" builtinId="9" hidden="1"/>
    <cellStyle name="Hipervínculo visitado" xfId="1074" builtinId="9" hidden="1"/>
    <cellStyle name="Hipervínculo visitado" xfId="1076" builtinId="9" hidden="1"/>
    <cellStyle name="Hipervínculo visitado" xfId="1078" builtinId="9" hidden="1"/>
    <cellStyle name="Hipervínculo visitado" xfId="1080" builtinId="9" hidden="1"/>
    <cellStyle name="Hipervínculo visitado" xfId="1082" builtinId="9" hidden="1"/>
    <cellStyle name="Hipervínculo visitado" xfId="1084" builtinId="9" hidden="1"/>
    <cellStyle name="Hipervínculo visitado" xfId="1086" builtinId="9" hidden="1"/>
    <cellStyle name="Hipervínculo visitado" xfId="1088" builtinId="9" hidden="1"/>
    <cellStyle name="Hipervínculo visitado" xfId="1090" builtinId="9" hidden="1"/>
    <cellStyle name="Hipervínculo visitado" xfId="1092" builtinId="9" hidden="1"/>
    <cellStyle name="Hipervínculo visitado" xfId="1094" builtinId="9" hidden="1"/>
    <cellStyle name="Hipervínculo visitado" xfId="1096" builtinId="9" hidden="1"/>
    <cellStyle name="Hipervínculo visitado" xfId="1098" builtinId="9" hidden="1"/>
    <cellStyle name="Hipervínculo visitado" xfId="1100" builtinId="9" hidden="1"/>
    <cellStyle name="Hipervínculo visitado" xfId="1102" builtinId="9" hidden="1"/>
    <cellStyle name="Hipervínculo visitado" xfId="1104" builtinId="9" hidden="1"/>
    <cellStyle name="Hipervínculo visitado" xfId="1106" builtinId="9" hidden="1"/>
    <cellStyle name="Hipervínculo visitado" xfId="1108" builtinId="9" hidden="1"/>
    <cellStyle name="Hipervínculo visitado" xfId="1110" builtinId="9" hidden="1"/>
    <cellStyle name="Hipervínculo visitado" xfId="1112" builtinId="9" hidden="1"/>
    <cellStyle name="Hipervínculo visitado" xfId="1114" builtinId="9" hidden="1"/>
    <cellStyle name="Hipervínculo visitado" xfId="1116" builtinId="9" hidden="1"/>
    <cellStyle name="Hipervínculo visitado" xfId="1118" builtinId="9" hidden="1"/>
    <cellStyle name="Hipervínculo visitado" xfId="1120" builtinId="9" hidden="1"/>
    <cellStyle name="Hipervínculo visitado" xfId="1122" builtinId="9" hidden="1"/>
    <cellStyle name="Hipervínculo visitado" xfId="1124" builtinId="9" hidden="1"/>
    <cellStyle name="Hipervínculo visitado" xfId="1126" builtinId="9" hidden="1"/>
    <cellStyle name="Hipervínculo visitado" xfId="1128" builtinId="9" hidden="1"/>
    <cellStyle name="Hipervínculo visitado" xfId="1130" builtinId="9" hidden="1"/>
    <cellStyle name="Hipervínculo visitado" xfId="1132" builtinId="9" hidden="1"/>
    <cellStyle name="Hipervínculo visitado" xfId="1134" builtinId="9" hidden="1"/>
    <cellStyle name="Hipervínculo visitado" xfId="1136" builtinId="9" hidden="1"/>
    <cellStyle name="Hipervínculo visitado" xfId="1138" builtinId="9" hidden="1"/>
    <cellStyle name="Hipervínculo visitado" xfId="1140" builtinId="9" hidden="1"/>
    <cellStyle name="Hipervínculo visitado" xfId="1142" builtinId="9" hidden="1"/>
    <cellStyle name="Hipervínculo visitado" xfId="1144" builtinId="9" hidden="1"/>
    <cellStyle name="Hipervínculo visitado" xfId="1146" builtinId="9" hidden="1"/>
    <cellStyle name="Hipervínculo visitado" xfId="1148" builtinId="9" hidden="1"/>
    <cellStyle name="Hipervínculo visitado" xfId="1150" builtinId="9" hidden="1"/>
    <cellStyle name="Hipervínculo visitado" xfId="1152" builtinId="9" hidden="1"/>
    <cellStyle name="Hipervínculo visitado" xfId="1154" builtinId="9" hidden="1"/>
    <cellStyle name="Hipervínculo visitado" xfId="1156" builtinId="9" hidden="1"/>
    <cellStyle name="Hipervínculo visitado" xfId="1158" builtinId="9" hidden="1"/>
    <cellStyle name="Hipervínculo visitado" xfId="1160" builtinId="9" hidden="1"/>
    <cellStyle name="Hipervínculo visitado" xfId="1162" builtinId="9" hidden="1"/>
    <cellStyle name="Hipervínculo visitado" xfId="1164" builtinId="9" hidden="1"/>
    <cellStyle name="Hipervínculo visitado" xfId="1166" builtinId="9" hidden="1"/>
    <cellStyle name="Hipervínculo visitado" xfId="1168" builtinId="9" hidden="1"/>
    <cellStyle name="Normal" xfId="0" builtinId="0"/>
    <cellStyle name="Normal 2" xfId="132" xr:uid="{00000000-0005-0000-0000-00008F040000}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1026160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203200</xdr:rowOff>
    </xdr:from>
    <xdr:to>
      <xdr:col>3</xdr:col>
      <xdr:colOff>79248</xdr:colOff>
      <xdr:row>3</xdr:row>
      <xdr:rowOff>113284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03200"/>
          <a:ext cx="993648" cy="78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0</xdr:row>
      <xdr:rowOff>342900</xdr:rowOff>
    </xdr:from>
    <xdr:to>
      <xdr:col>3</xdr:col>
      <xdr:colOff>50800</xdr:colOff>
      <xdr:row>3</xdr:row>
      <xdr:rowOff>71681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342900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62"/>
  <sheetViews>
    <sheetView topLeftCell="A4" zoomScale="108" workbookViewId="0">
      <selection activeCell="D13" sqref="D13:M13"/>
    </sheetView>
  </sheetViews>
  <sheetFormatPr baseColWidth="10" defaultColWidth="10.6640625" defaultRowHeight="15"/>
  <cols>
    <col min="1" max="1" width="3.33203125" style="3" customWidth="1"/>
    <col min="2" max="2" width="3.44140625" style="2" customWidth="1"/>
    <col min="3" max="3" width="12.33203125" style="3" customWidth="1"/>
    <col min="4" max="13" width="10.6640625" style="3"/>
    <col min="14" max="14" width="3.33203125" style="2" customWidth="1"/>
    <col min="15" max="17" width="10.6640625" style="2"/>
    <col min="18" max="16384" width="10.6640625" style="3"/>
  </cols>
  <sheetData>
    <row r="1" spans="2:37" s="2" customFormat="1" ht="23.1" customHeight="1"/>
    <row r="2" spans="2:37" s="2" customFormat="1" ht="23.1" customHeight="1">
      <c r="D2" s="18" t="s">
        <v>31</v>
      </c>
    </row>
    <row r="3" spans="2:37" s="2" customFormat="1" ht="23.1" customHeight="1">
      <c r="D3" s="12" t="s">
        <v>32</v>
      </c>
    </row>
    <row r="4" spans="2:37" s="2" customFormat="1" ht="23.1" customHeight="1" thickBot="1"/>
    <row r="5" spans="2:37" s="2" customFormat="1" ht="9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2:37" s="2" customFormat="1" ht="30" customHeight="1">
      <c r="B6" s="7"/>
      <c r="C6" s="1" t="s">
        <v>0</v>
      </c>
      <c r="M6" s="1110">
        <f>ejercicio</f>
        <v>2019</v>
      </c>
      <c r="N6" s="8"/>
    </row>
    <row r="7" spans="2:37" s="2" customFormat="1" ht="30" customHeight="1">
      <c r="B7" s="7"/>
      <c r="C7" s="1" t="s">
        <v>1</v>
      </c>
      <c r="K7" s="9"/>
      <c r="M7" s="1110"/>
      <c r="N7" s="8"/>
    </row>
    <row r="8" spans="2:37" s="2" customFormat="1" ht="30" customHeight="1">
      <c r="B8" s="7"/>
      <c r="N8" s="8"/>
    </row>
    <row r="9" spans="2:37" s="2" customFormat="1" ht="30" customHeight="1">
      <c r="B9" s="7"/>
      <c r="N9" s="8"/>
      <c r="Q9" s="877"/>
      <c r="R9" s="877"/>
      <c r="S9" s="877"/>
      <c r="T9" s="877"/>
    </row>
    <row r="10" spans="2:37" s="2" customFormat="1" ht="7.35" customHeight="1">
      <c r="B10" s="7"/>
      <c r="N10" s="8"/>
      <c r="Q10" s="877"/>
      <c r="R10" s="877"/>
      <c r="S10" s="877"/>
      <c r="T10" s="877"/>
    </row>
    <row r="11" spans="2:37" ht="30" customHeight="1">
      <c r="B11" s="7"/>
      <c r="C11" s="10" t="s">
        <v>33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8"/>
      <c r="O11" s="3"/>
      <c r="Q11" s="877"/>
      <c r="R11" s="877"/>
      <c r="S11" s="877"/>
      <c r="T11" s="87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7"/>
      <c r="N12" s="8"/>
      <c r="Q12" s="877"/>
      <c r="R12" s="877"/>
      <c r="S12" s="877"/>
      <c r="T12" s="877"/>
    </row>
    <row r="13" spans="2:37" s="12" customFormat="1" ht="30" customHeight="1">
      <c r="B13" s="7"/>
      <c r="C13" s="262" t="s">
        <v>34</v>
      </c>
      <c r="D13" s="1111" t="s">
        <v>1033</v>
      </c>
      <c r="E13" s="1112"/>
      <c r="F13" s="1112"/>
      <c r="G13" s="1112"/>
      <c r="H13" s="1112"/>
      <c r="I13" s="1112"/>
      <c r="J13" s="1112"/>
      <c r="K13" s="1112"/>
      <c r="L13" s="1112"/>
      <c r="M13" s="1113"/>
      <c r="N13" s="8"/>
      <c r="Q13" s="878"/>
      <c r="R13" s="878"/>
      <c r="S13" s="878"/>
      <c r="T13" s="878"/>
    </row>
    <row r="14" spans="2:37" s="12" customFormat="1" ht="30" customHeight="1">
      <c r="B14" s="7"/>
      <c r="C14" s="262" t="s">
        <v>957</v>
      </c>
      <c r="D14" s="1111" t="s">
        <v>959</v>
      </c>
      <c r="E14" s="1112"/>
      <c r="F14" s="1113"/>
      <c r="G14" s="265"/>
      <c r="H14" s="265"/>
      <c r="I14" s="2"/>
      <c r="J14" s="2"/>
      <c r="K14" s="2"/>
      <c r="L14" s="2"/>
      <c r="M14" s="2"/>
      <c r="N14" s="8"/>
      <c r="Q14" s="878"/>
      <c r="R14" s="878"/>
      <c r="S14" s="768" t="s">
        <v>958</v>
      </c>
      <c r="T14" s="878"/>
    </row>
    <row r="15" spans="2:37" s="2" customFormat="1" ht="30" customHeight="1">
      <c r="B15" s="7"/>
      <c r="C15" s="262" t="s">
        <v>35</v>
      </c>
      <c r="D15" s="520">
        <v>2019</v>
      </c>
      <c r="G15" s="265"/>
      <c r="H15" s="265"/>
      <c r="N15" s="8"/>
      <c r="Q15" s="877"/>
      <c r="R15" s="877"/>
      <c r="S15" s="699" t="s">
        <v>959</v>
      </c>
      <c r="T15" s="877"/>
    </row>
    <row r="16" spans="2:37" s="2" customFormat="1" ht="30" customHeight="1">
      <c r="B16" s="7"/>
      <c r="C16" s="1"/>
      <c r="D16" s="1114"/>
      <c r="E16" s="1114"/>
      <c r="F16" s="1114"/>
      <c r="G16" s="1114"/>
      <c r="H16" s="1114"/>
      <c r="I16" s="1114"/>
      <c r="J16" s="1114"/>
      <c r="K16" s="1114"/>
      <c r="L16" s="1114"/>
      <c r="M16" s="1114"/>
      <c r="N16" s="8"/>
      <c r="Q16" s="877"/>
      <c r="R16" s="877"/>
      <c r="S16" s="877"/>
      <c r="T16" s="877"/>
    </row>
    <row r="17" spans="2:20" s="2" customFormat="1" ht="30" customHeight="1">
      <c r="B17" s="7"/>
      <c r="C17" s="263" t="s">
        <v>67</v>
      </c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8"/>
      <c r="Q17" s="877"/>
      <c r="R17" s="877"/>
      <c r="S17" s="877"/>
      <c r="T17" s="877"/>
    </row>
    <row r="18" spans="2:20" s="2" customFormat="1" ht="9" customHeight="1">
      <c r="B18" s="7"/>
      <c r="C18" s="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8"/>
      <c r="Q18" s="877"/>
      <c r="R18" s="877"/>
      <c r="S18" s="877"/>
      <c r="T18" s="877"/>
    </row>
    <row r="19" spans="2:20" s="2" customFormat="1" ht="25.35" customHeight="1">
      <c r="B19" s="7"/>
      <c r="C19" s="2" t="s">
        <v>37</v>
      </c>
      <c r="D19" s="2" t="s">
        <v>38</v>
      </c>
      <c r="N19" s="8"/>
      <c r="Q19" s="877"/>
      <c r="R19" s="877"/>
      <c r="S19" s="877"/>
      <c r="T19" s="877"/>
    </row>
    <row r="20" spans="2:20" s="2" customFormat="1" ht="25.35" customHeight="1">
      <c r="B20" s="7"/>
      <c r="C20" s="2" t="s">
        <v>39</v>
      </c>
      <c r="D20" s="2" t="s">
        <v>40</v>
      </c>
      <c r="N20" s="8"/>
      <c r="Q20" s="877"/>
      <c r="R20" s="877"/>
      <c r="S20" s="877"/>
      <c r="T20" s="877"/>
    </row>
    <row r="21" spans="2:20" s="2" customFormat="1" ht="25.35" customHeight="1">
      <c r="B21" s="7"/>
      <c r="C21" s="2" t="s">
        <v>41</v>
      </c>
      <c r="D21" s="2" t="s">
        <v>42</v>
      </c>
      <c r="N21" s="8"/>
      <c r="Q21" s="877"/>
      <c r="R21" s="877"/>
      <c r="S21" s="877"/>
      <c r="T21" s="877"/>
    </row>
    <row r="22" spans="2:20" s="2" customFormat="1" ht="25.35" customHeight="1">
      <c r="B22" s="7"/>
      <c r="C22" s="2" t="s">
        <v>47</v>
      </c>
      <c r="D22" s="2" t="s">
        <v>48</v>
      </c>
      <c r="N22" s="8"/>
      <c r="Q22" s="877"/>
      <c r="R22" s="877"/>
      <c r="S22" s="877"/>
      <c r="T22" s="877"/>
    </row>
    <row r="23" spans="2:20" s="2" customFormat="1" ht="25.35" customHeight="1">
      <c r="B23" s="7"/>
      <c r="C23" s="2" t="s">
        <v>43</v>
      </c>
      <c r="D23" s="265" t="s">
        <v>660</v>
      </c>
      <c r="N23" s="8"/>
      <c r="Q23" s="877"/>
      <c r="R23" s="877"/>
      <c r="S23" s="877"/>
      <c r="T23" s="877"/>
    </row>
    <row r="24" spans="2:20" s="2" customFormat="1" ht="25.35" customHeight="1">
      <c r="B24" s="7"/>
      <c r="C24" s="2" t="s">
        <v>44</v>
      </c>
      <c r="D24" s="2" t="s">
        <v>45</v>
      </c>
      <c r="N24" s="8"/>
    </row>
    <row r="25" spans="2:20" s="2" customFormat="1" ht="25.35" customHeight="1">
      <c r="B25" s="7"/>
      <c r="C25" s="2" t="s">
        <v>46</v>
      </c>
      <c r="D25" s="2" t="s">
        <v>49</v>
      </c>
      <c r="N25" s="8"/>
    </row>
    <row r="26" spans="2:20" s="2" customFormat="1" ht="25.35" customHeight="1">
      <c r="B26" s="7"/>
      <c r="C26" s="2" t="s">
        <v>50</v>
      </c>
      <c r="D26" s="2" t="s">
        <v>51</v>
      </c>
      <c r="N26" s="8"/>
    </row>
    <row r="27" spans="2:20" s="2" customFormat="1" ht="25.35" customHeight="1">
      <c r="B27" s="7"/>
      <c r="C27" s="2" t="s">
        <v>52</v>
      </c>
      <c r="D27" s="2" t="s">
        <v>53</v>
      </c>
      <c r="N27" s="8"/>
    </row>
    <row r="28" spans="2:20" s="2" customFormat="1" ht="25.35" customHeight="1">
      <c r="B28" s="7"/>
      <c r="C28" s="2" t="s">
        <v>54</v>
      </c>
      <c r="D28" s="2" t="s">
        <v>55</v>
      </c>
      <c r="N28" s="8"/>
    </row>
    <row r="29" spans="2:20" s="2" customFormat="1" ht="25.35" customHeight="1">
      <c r="B29" s="7"/>
      <c r="C29" s="2" t="s">
        <v>56</v>
      </c>
      <c r="D29" s="385" t="s">
        <v>686</v>
      </c>
      <c r="N29" s="8"/>
    </row>
    <row r="30" spans="2:20" s="2" customFormat="1" ht="25.35" customHeight="1">
      <c r="B30" s="7"/>
      <c r="C30" s="2" t="s">
        <v>58</v>
      </c>
      <c r="D30" s="2" t="s">
        <v>57</v>
      </c>
      <c r="N30" s="8"/>
    </row>
    <row r="31" spans="2:20" s="2" customFormat="1" ht="25.35" customHeight="1">
      <c r="B31" s="7"/>
      <c r="C31" s="2" t="s">
        <v>60</v>
      </c>
      <c r="D31" s="2" t="s">
        <v>59</v>
      </c>
      <c r="N31" s="8"/>
    </row>
    <row r="32" spans="2:20" s="2" customFormat="1" ht="25.35" customHeight="1">
      <c r="B32" s="7"/>
      <c r="C32" s="385" t="s">
        <v>61</v>
      </c>
      <c r="D32" s="2" t="s">
        <v>62</v>
      </c>
      <c r="N32" s="8"/>
    </row>
    <row r="33" spans="2:14" s="2" customFormat="1" ht="25.35" customHeight="1">
      <c r="B33" s="7"/>
      <c r="C33" s="385" t="s">
        <v>682</v>
      </c>
      <c r="D33" s="2" t="s">
        <v>64</v>
      </c>
      <c r="N33" s="8"/>
    </row>
    <row r="34" spans="2:14" s="2" customFormat="1" ht="25.35" customHeight="1">
      <c r="B34" s="7"/>
      <c r="C34" s="385" t="s">
        <v>683</v>
      </c>
      <c r="D34" s="2" t="s">
        <v>65</v>
      </c>
      <c r="N34" s="8"/>
    </row>
    <row r="35" spans="2:14" s="2" customFormat="1" ht="25.35" customHeight="1">
      <c r="B35" s="7"/>
      <c r="C35" s="385" t="s">
        <v>684</v>
      </c>
      <c r="D35" s="2" t="s">
        <v>66</v>
      </c>
      <c r="N35" s="8"/>
    </row>
    <row r="36" spans="2:14" s="2" customFormat="1" ht="25.35" customHeight="1">
      <c r="B36" s="7"/>
      <c r="C36" s="385" t="s">
        <v>685</v>
      </c>
      <c r="D36" s="2" t="s">
        <v>69</v>
      </c>
      <c r="N36" s="8"/>
    </row>
    <row r="37" spans="2:14" s="2" customFormat="1" ht="25.35" customHeight="1">
      <c r="B37" s="7"/>
      <c r="N37" s="8"/>
    </row>
    <row r="38" spans="2:14" s="2" customFormat="1" ht="25.35" customHeight="1">
      <c r="B38" s="7"/>
      <c r="N38" s="8"/>
    </row>
    <row r="39" spans="2:14" s="2" customFormat="1" ht="25.35" customHeight="1">
      <c r="B39" s="7"/>
      <c r="C39" s="265" t="s">
        <v>68</v>
      </c>
      <c r="D39" s="875" t="s">
        <v>70</v>
      </c>
      <c r="N39" s="8"/>
    </row>
    <row r="40" spans="2:14" s="2" customFormat="1" ht="25.35" customHeight="1">
      <c r="B40" s="7"/>
      <c r="N40" s="8"/>
    </row>
    <row r="41" spans="2:14" s="2" customFormat="1" ht="25.35" customHeight="1">
      <c r="B41" s="7"/>
      <c r="C41" s="263" t="s">
        <v>519</v>
      </c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8"/>
    </row>
    <row r="42" spans="2:14" s="2" customFormat="1" ht="25.35" customHeight="1">
      <c r="B42" s="7"/>
      <c r="N42" s="8"/>
    </row>
    <row r="43" spans="2:14" s="2" customFormat="1" ht="25.35" customHeight="1">
      <c r="B43" s="7"/>
      <c r="C43" s="265" t="s">
        <v>520</v>
      </c>
      <c r="N43" s="8"/>
    </row>
    <row r="44" spans="2:14" s="2" customFormat="1" ht="30" customHeight="1" thickBo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</row>
    <row r="45" spans="2:14" s="2" customFormat="1" ht="30" customHeight="1"/>
    <row r="46" spans="2:14" s="38" customFormat="1" ht="12.75">
      <c r="C46" s="34" t="s">
        <v>72</v>
      </c>
      <c r="G46" s="39"/>
      <c r="M46" s="37" t="s">
        <v>77</v>
      </c>
    </row>
    <row r="47" spans="2:14" s="38" customFormat="1" ht="12.75">
      <c r="C47" s="34" t="s">
        <v>73</v>
      </c>
      <c r="G47" s="39"/>
    </row>
    <row r="48" spans="2:14" s="38" customFormat="1" ht="12.75">
      <c r="C48" s="34" t="s">
        <v>74</v>
      </c>
      <c r="G48" s="39"/>
    </row>
    <row r="49" spans="3:7" s="38" customFormat="1" ht="12.75">
      <c r="C49" s="34" t="s">
        <v>75</v>
      </c>
      <c r="G49" s="39"/>
    </row>
    <row r="50" spans="3:7" s="38" customFormat="1" ht="12.75">
      <c r="C50" s="34" t="s">
        <v>76</v>
      </c>
      <c r="G50" s="39"/>
    </row>
    <row r="51" spans="3:7" s="2" customFormat="1" ht="30" customHeight="1"/>
    <row r="52" spans="3:7" s="2" customFormat="1" ht="30" customHeight="1"/>
    <row r="53" spans="3:7" s="2" customFormat="1" ht="30" customHeight="1"/>
    <row r="54" spans="3:7" s="2" customFormat="1" ht="30" customHeight="1"/>
    <row r="55" spans="3:7" s="2" customFormat="1" ht="30" customHeight="1"/>
    <row r="56" spans="3:7" s="2" customFormat="1" ht="30" customHeight="1"/>
    <row r="57" spans="3:7" s="2" customFormat="1" ht="30" customHeight="1"/>
    <row r="58" spans="3:7" s="2" customFormat="1" ht="30" customHeight="1"/>
    <row r="59" spans="3:7" s="2" customFormat="1" ht="30" customHeight="1"/>
    <row r="60" spans="3:7" s="2" customFormat="1" ht="30" customHeight="1"/>
    <row r="61" spans="3:7" s="2" customFormat="1" ht="30" customHeight="1"/>
    <row r="62" spans="3:7" s="2" customFormat="1" ht="30" customHeight="1"/>
    <row r="63" spans="3:7" s="2" customFormat="1" ht="30" customHeight="1"/>
    <row r="64" spans="3:7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</sheetData>
  <sheetProtection password="C494" sheet="1" objects="1" scenarios="1"/>
  <mergeCells count="4">
    <mergeCell ref="M6:M7"/>
    <mergeCell ref="D13:M13"/>
    <mergeCell ref="D16:M16"/>
    <mergeCell ref="D14:F14"/>
  </mergeCells>
  <phoneticPr fontId="21" type="noConversion"/>
  <dataValidations count="1">
    <dataValidation type="list" allowBlank="1" showInputMessage="1" showErrorMessage="1" sqref="D14" xr:uid="{00000000-0002-0000-0000-000000000000}">
      <formula1>$S$14:$S$15</formula1>
    </dataValidation>
  </dataValidations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X106"/>
  <sheetViews>
    <sheetView workbookViewId="0">
      <selection activeCell="G95" sqref="G95"/>
    </sheetView>
  </sheetViews>
  <sheetFormatPr baseColWidth="10" defaultColWidth="10.6640625" defaultRowHeight="23.1" customHeight="1"/>
  <cols>
    <col min="1" max="1" width="4.33203125" style="38" bestFit="1" customWidth="1"/>
    <col min="2" max="2" width="3.33203125" style="38" customWidth="1"/>
    <col min="3" max="3" width="9.5546875" style="38" customWidth="1"/>
    <col min="4" max="4" width="5.5546875" style="38" customWidth="1"/>
    <col min="5" max="5" width="69.6640625" style="38" customWidth="1"/>
    <col min="6" max="8" width="18.33203125" style="80" customWidth="1"/>
    <col min="9" max="9" width="3.33203125" style="38" customWidth="1"/>
    <col min="10" max="16384" width="10.6640625" style="38"/>
  </cols>
  <sheetData>
    <row r="2" spans="1:24" ht="23.1" customHeight="1">
      <c r="D2" s="57" t="s">
        <v>374</v>
      </c>
    </row>
    <row r="3" spans="1:24" ht="23.1" customHeight="1">
      <c r="D3" s="57" t="s">
        <v>375</v>
      </c>
    </row>
    <row r="4" spans="1:24" ht="23.1" customHeight="1" thickBot="1">
      <c r="A4" s="38" t="s">
        <v>950</v>
      </c>
    </row>
    <row r="5" spans="1:24" ht="9" customHeight="1">
      <c r="B5" s="40"/>
      <c r="C5" s="41"/>
      <c r="D5" s="41"/>
      <c r="E5" s="41"/>
      <c r="F5" s="81"/>
      <c r="G5" s="81"/>
      <c r="H5" s="81"/>
      <c r="I5" s="42"/>
      <c r="K5" s="386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8"/>
    </row>
    <row r="6" spans="1:24" ht="30" customHeight="1">
      <c r="B6" s="43"/>
      <c r="C6" s="1" t="s">
        <v>0</v>
      </c>
      <c r="H6" s="1110">
        <f>ejercicio</f>
        <v>2019</v>
      </c>
      <c r="I6" s="45"/>
      <c r="K6" s="389"/>
      <c r="L6" s="390" t="s">
        <v>689</v>
      </c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2"/>
    </row>
    <row r="7" spans="1:24" ht="30" customHeight="1">
      <c r="B7" s="43"/>
      <c r="C7" s="1" t="s">
        <v>1</v>
      </c>
      <c r="H7" s="1110"/>
      <c r="I7" s="45"/>
      <c r="K7" s="389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2"/>
    </row>
    <row r="8" spans="1:24" ht="30" customHeight="1">
      <c r="B8" s="43"/>
      <c r="C8" s="44"/>
      <c r="H8" s="82"/>
      <c r="I8" s="45"/>
      <c r="K8" s="389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2"/>
    </row>
    <row r="9" spans="1:24" s="53" customFormat="1" ht="30" customHeight="1">
      <c r="B9" s="51"/>
      <c r="C9" s="35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52"/>
      <c r="K9" s="393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5"/>
    </row>
    <row r="10" spans="1:24" ht="7.35" customHeight="1">
      <c r="B10" s="43"/>
      <c r="I10" s="45"/>
      <c r="K10" s="389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</row>
    <row r="11" spans="1:24" s="55" customFormat="1" ht="30" customHeight="1">
      <c r="B11" s="21"/>
      <c r="C11" s="10" t="s">
        <v>316</v>
      </c>
      <c r="D11" s="10"/>
      <c r="E11" s="10"/>
      <c r="F11" s="83"/>
      <c r="G11" s="83"/>
      <c r="H11" s="83"/>
      <c r="I11" s="54"/>
      <c r="K11" s="396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8"/>
    </row>
    <row r="12" spans="1:24" s="55" customFormat="1" ht="30" customHeight="1">
      <c r="B12" s="21"/>
      <c r="C12" s="876" t="str">
        <f>IF(_GENERAL!D14&lt;&gt;"Normal","No aplica a empresas que presentan cuentas en modelo abreviado o PyMES","")</f>
        <v>No aplica a empresas que presentan cuentas en modelo abreviado o PyMES</v>
      </c>
      <c r="F12" s="84"/>
      <c r="G12" s="84"/>
      <c r="H12" s="84"/>
      <c r="I12" s="54"/>
      <c r="K12" s="396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8"/>
    </row>
    <row r="13" spans="1:24" ht="23.1" customHeight="1">
      <c r="B13" s="43"/>
      <c r="C13" s="366"/>
      <c r="D13" s="367"/>
      <c r="E13" s="367"/>
      <c r="F13" s="375" t="s">
        <v>178</v>
      </c>
      <c r="G13" s="375" t="s">
        <v>179</v>
      </c>
      <c r="H13" s="375" t="s">
        <v>180</v>
      </c>
      <c r="I13" s="45"/>
      <c r="K13" s="389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2"/>
    </row>
    <row r="14" spans="1:24" ht="23.1" customHeight="1">
      <c r="B14" s="43"/>
      <c r="C14" s="373"/>
      <c r="D14" s="374"/>
      <c r="E14" s="374"/>
      <c r="F14" s="376">
        <f>ejercicio-2</f>
        <v>2017</v>
      </c>
      <c r="G14" s="376">
        <f>ejercicio-1</f>
        <v>2018</v>
      </c>
      <c r="H14" s="376">
        <f>ejercicio</f>
        <v>2019</v>
      </c>
      <c r="I14" s="45"/>
      <c r="K14" s="389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2"/>
    </row>
    <row r="15" spans="1:24" ht="23.1" customHeight="1">
      <c r="B15" s="43"/>
      <c r="C15" s="368" t="s">
        <v>317</v>
      </c>
      <c r="D15" s="78"/>
      <c r="E15" s="77"/>
      <c r="F15" s="377"/>
      <c r="G15" s="377"/>
      <c r="H15" s="377"/>
      <c r="I15" s="45"/>
      <c r="K15" s="389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2"/>
    </row>
    <row r="16" spans="1:24" ht="23.1" customHeight="1">
      <c r="B16" s="43"/>
      <c r="C16" s="369" t="s">
        <v>318</v>
      </c>
      <c r="D16" s="62"/>
      <c r="E16" s="61"/>
      <c r="F16" s="378">
        <f>'FC-3_CPyG'!E76</f>
        <v>-1185319.0299999998</v>
      </c>
      <c r="G16" s="378">
        <f>'FC-3_CPyG'!F76</f>
        <v>-1095326.42</v>
      </c>
      <c r="H16" s="378">
        <f>'FC-3_CPyG'!G76</f>
        <v>-1380732.1799999997</v>
      </c>
      <c r="I16" s="45"/>
      <c r="K16" s="389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2"/>
    </row>
    <row r="17" spans="2:24" ht="23.1" customHeight="1">
      <c r="B17" s="43"/>
      <c r="C17" s="369" t="s">
        <v>319</v>
      </c>
      <c r="D17" s="62"/>
      <c r="E17" s="61"/>
      <c r="F17" s="378">
        <f>SUM(F18:F28)</f>
        <v>0</v>
      </c>
      <c r="G17" s="378">
        <f>SUM(G18:G28)</f>
        <v>0</v>
      </c>
      <c r="H17" s="378">
        <f>SUM(H18:H28)</f>
        <v>0</v>
      </c>
      <c r="I17" s="45"/>
      <c r="K17" s="389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2"/>
    </row>
    <row r="18" spans="2:24" ht="23.1" customHeight="1">
      <c r="B18" s="43"/>
      <c r="C18" s="370"/>
      <c r="D18" s="64" t="s">
        <v>320</v>
      </c>
      <c r="E18" s="64"/>
      <c r="F18" s="451"/>
      <c r="G18" s="451"/>
      <c r="H18" s="451"/>
      <c r="I18" s="45"/>
      <c r="K18" s="389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2"/>
    </row>
    <row r="19" spans="2:24" ht="23.1" customHeight="1">
      <c r="B19" s="43"/>
      <c r="C19" s="370"/>
      <c r="D19" s="64" t="s">
        <v>321</v>
      </c>
      <c r="E19" s="64"/>
      <c r="F19" s="451"/>
      <c r="G19" s="451"/>
      <c r="H19" s="451"/>
      <c r="I19" s="45"/>
      <c r="K19" s="389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2"/>
    </row>
    <row r="20" spans="2:24" ht="23.1" customHeight="1">
      <c r="B20" s="43"/>
      <c r="C20" s="370"/>
      <c r="D20" s="64" t="s">
        <v>322</v>
      </c>
      <c r="E20" s="64"/>
      <c r="F20" s="451"/>
      <c r="G20" s="451"/>
      <c r="H20" s="451"/>
      <c r="I20" s="45"/>
      <c r="K20" s="389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2"/>
    </row>
    <row r="21" spans="2:24" ht="23.1" customHeight="1">
      <c r="B21" s="43"/>
      <c r="C21" s="370"/>
      <c r="D21" s="64" t="s">
        <v>323</v>
      </c>
      <c r="E21" s="64"/>
      <c r="F21" s="451"/>
      <c r="G21" s="451"/>
      <c r="H21" s="451"/>
      <c r="I21" s="45"/>
      <c r="K21" s="389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2"/>
    </row>
    <row r="22" spans="2:24" ht="23.1" customHeight="1">
      <c r="B22" s="43"/>
      <c r="C22" s="370"/>
      <c r="D22" s="64" t="s">
        <v>324</v>
      </c>
      <c r="E22" s="64"/>
      <c r="F22" s="451"/>
      <c r="G22" s="451"/>
      <c r="H22" s="451"/>
      <c r="I22" s="45"/>
      <c r="K22" s="389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2"/>
    </row>
    <row r="23" spans="2:24" ht="23.1" customHeight="1">
      <c r="B23" s="43"/>
      <c r="C23" s="370"/>
      <c r="D23" s="64" t="s">
        <v>325</v>
      </c>
      <c r="E23" s="64"/>
      <c r="F23" s="451"/>
      <c r="G23" s="451"/>
      <c r="H23" s="451"/>
      <c r="I23" s="45"/>
      <c r="K23" s="389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2"/>
    </row>
    <row r="24" spans="2:24" ht="23.1" customHeight="1">
      <c r="B24" s="43"/>
      <c r="C24" s="370"/>
      <c r="D24" s="64" t="s">
        <v>326</v>
      </c>
      <c r="E24" s="64"/>
      <c r="F24" s="451"/>
      <c r="G24" s="451"/>
      <c r="H24" s="451"/>
      <c r="I24" s="45"/>
      <c r="K24" s="389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2"/>
    </row>
    <row r="25" spans="2:24" ht="23.1" customHeight="1">
      <c r="B25" s="43"/>
      <c r="C25" s="370"/>
      <c r="D25" s="64" t="s">
        <v>327</v>
      </c>
      <c r="E25" s="64"/>
      <c r="F25" s="451"/>
      <c r="G25" s="451"/>
      <c r="H25" s="451"/>
      <c r="I25" s="45"/>
      <c r="K25" s="389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2"/>
    </row>
    <row r="26" spans="2:24" ht="23.1" customHeight="1">
      <c r="B26" s="43"/>
      <c r="C26" s="370"/>
      <c r="D26" s="64" t="s">
        <v>328</v>
      </c>
      <c r="E26" s="64"/>
      <c r="F26" s="451"/>
      <c r="G26" s="451"/>
      <c r="H26" s="451"/>
      <c r="I26" s="45"/>
      <c r="K26" s="389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2"/>
    </row>
    <row r="27" spans="2:24" ht="23.1" customHeight="1">
      <c r="B27" s="43"/>
      <c r="C27" s="370"/>
      <c r="D27" s="64" t="s">
        <v>329</v>
      </c>
      <c r="E27" s="64"/>
      <c r="F27" s="451"/>
      <c r="G27" s="451"/>
      <c r="H27" s="451"/>
      <c r="I27" s="45"/>
      <c r="K27" s="389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2"/>
    </row>
    <row r="28" spans="2:24" ht="23.1" customHeight="1">
      <c r="B28" s="43"/>
      <c r="C28" s="370"/>
      <c r="D28" s="64" t="s">
        <v>330</v>
      </c>
      <c r="E28" s="64"/>
      <c r="F28" s="451"/>
      <c r="G28" s="451"/>
      <c r="H28" s="451"/>
      <c r="I28" s="45"/>
      <c r="K28" s="389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2"/>
    </row>
    <row r="29" spans="2:24" ht="23.1" customHeight="1">
      <c r="B29" s="43"/>
      <c r="C29" s="369" t="s">
        <v>331</v>
      </c>
      <c r="D29" s="62"/>
      <c r="E29" s="61"/>
      <c r="F29" s="378">
        <f>SUM(F30:F35)</f>
        <v>0</v>
      </c>
      <c r="G29" s="378">
        <f>SUM(G30:G35)</f>
        <v>0</v>
      </c>
      <c r="H29" s="378">
        <f>SUM(H30:H35)</f>
        <v>0</v>
      </c>
      <c r="I29" s="45"/>
      <c r="K29" s="389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2"/>
    </row>
    <row r="30" spans="2:24" ht="23.1" customHeight="1">
      <c r="B30" s="43"/>
      <c r="C30" s="370"/>
      <c r="D30" s="64" t="s">
        <v>332</v>
      </c>
      <c r="E30" s="64"/>
      <c r="F30" s="451"/>
      <c r="G30" s="451"/>
      <c r="H30" s="451"/>
      <c r="I30" s="45"/>
      <c r="K30" s="399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1"/>
    </row>
    <row r="31" spans="2:24" ht="23.1" customHeight="1">
      <c r="B31" s="43"/>
      <c r="C31" s="370"/>
      <c r="D31" s="64" t="s">
        <v>333</v>
      </c>
      <c r="E31" s="64"/>
      <c r="F31" s="451"/>
      <c r="G31" s="451"/>
      <c r="H31" s="451"/>
      <c r="I31" s="45"/>
      <c r="K31" s="399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1"/>
    </row>
    <row r="32" spans="2:24" ht="23.1" customHeight="1">
      <c r="B32" s="43"/>
      <c r="C32" s="370"/>
      <c r="D32" s="64" t="s">
        <v>334</v>
      </c>
      <c r="E32" s="64"/>
      <c r="F32" s="451"/>
      <c r="G32" s="451"/>
      <c r="H32" s="451"/>
      <c r="I32" s="45"/>
      <c r="K32" s="389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2"/>
    </row>
    <row r="33" spans="2:24" ht="23.1" customHeight="1">
      <c r="B33" s="43"/>
      <c r="C33" s="370"/>
      <c r="D33" s="64" t="s">
        <v>335</v>
      </c>
      <c r="E33" s="64"/>
      <c r="F33" s="451"/>
      <c r="G33" s="451"/>
      <c r="H33" s="451"/>
      <c r="I33" s="45"/>
      <c r="K33" s="389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2"/>
    </row>
    <row r="34" spans="2:24" ht="23.1" customHeight="1">
      <c r="B34" s="43"/>
      <c r="C34" s="370"/>
      <c r="D34" s="64" t="s">
        <v>336</v>
      </c>
      <c r="E34" s="64"/>
      <c r="F34" s="451"/>
      <c r="G34" s="451"/>
      <c r="H34" s="451"/>
      <c r="I34" s="45"/>
      <c r="K34" s="389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2"/>
    </row>
    <row r="35" spans="2:24" ht="23.1" customHeight="1">
      <c r="B35" s="43"/>
      <c r="C35" s="370"/>
      <c r="D35" s="64" t="s">
        <v>337</v>
      </c>
      <c r="E35" s="64"/>
      <c r="F35" s="451"/>
      <c r="G35" s="451"/>
      <c r="H35" s="451"/>
      <c r="I35" s="45"/>
      <c r="K35" s="389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2"/>
    </row>
    <row r="36" spans="2:24" ht="23.1" customHeight="1">
      <c r="B36" s="43"/>
      <c r="C36" s="369" t="s">
        <v>338</v>
      </c>
      <c r="D36" s="62"/>
      <c r="E36" s="61"/>
      <c r="F36" s="378">
        <f>SUM(F37:F41)</f>
        <v>0</v>
      </c>
      <c r="G36" s="378">
        <f>SUM(G37:G41)</f>
        <v>0</v>
      </c>
      <c r="H36" s="378">
        <f>SUM(H37:H41)</f>
        <v>0</v>
      </c>
      <c r="I36" s="45"/>
      <c r="K36" s="402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4"/>
    </row>
    <row r="37" spans="2:24" ht="23.1" customHeight="1">
      <c r="B37" s="43"/>
      <c r="C37" s="370"/>
      <c r="D37" s="64" t="s">
        <v>339</v>
      </c>
      <c r="E37" s="64"/>
      <c r="F37" s="451"/>
      <c r="G37" s="451"/>
      <c r="H37" s="451"/>
      <c r="I37" s="45"/>
      <c r="K37" s="402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4"/>
    </row>
    <row r="38" spans="2:24" ht="23.1" customHeight="1">
      <c r="B38" s="43"/>
      <c r="C38" s="370"/>
      <c r="D38" s="64" t="s">
        <v>340</v>
      </c>
      <c r="E38" s="64"/>
      <c r="F38" s="451"/>
      <c r="G38" s="451"/>
      <c r="H38" s="451"/>
      <c r="I38" s="45"/>
      <c r="K38" s="402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4"/>
    </row>
    <row r="39" spans="2:24" ht="23.1" customHeight="1">
      <c r="B39" s="43"/>
      <c r="C39" s="370"/>
      <c r="D39" s="64" t="s">
        <v>341</v>
      </c>
      <c r="E39" s="64"/>
      <c r="F39" s="451"/>
      <c r="G39" s="451"/>
      <c r="H39" s="451"/>
      <c r="I39" s="45"/>
      <c r="K39" s="402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4"/>
    </row>
    <row r="40" spans="2:24" ht="23.1" customHeight="1">
      <c r="B40" s="43"/>
      <c r="C40" s="370"/>
      <c r="D40" s="64" t="s">
        <v>342</v>
      </c>
      <c r="E40" s="64"/>
      <c r="F40" s="451"/>
      <c r="G40" s="451"/>
      <c r="H40" s="451"/>
      <c r="I40" s="45"/>
      <c r="K40" s="402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4"/>
    </row>
    <row r="41" spans="2:24" ht="23.1" customHeight="1">
      <c r="B41" s="43"/>
      <c r="C41" s="370"/>
      <c r="D41" s="64" t="s">
        <v>343</v>
      </c>
      <c r="E41" s="64"/>
      <c r="F41" s="451"/>
      <c r="G41" s="451"/>
      <c r="H41" s="451"/>
      <c r="I41" s="45"/>
      <c r="K41" s="402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4"/>
    </row>
    <row r="42" spans="2:24" ht="23.1" customHeight="1" thickBot="1">
      <c r="B42" s="43"/>
      <c r="C42" s="371" t="s">
        <v>344</v>
      </c>
      <c r="D42" s="75"/>
      <c r="E42" s="75"/>
      <c r="F42" s="380">
        <f>F16+F17+F29+F36</f>
        <v>-1185319.0299999998</v>
      </c>
      <c r="G42" s="380">
        <f>G16+G17+G29+G36</f>
        <v>-1095326.42</v>
      </c>
      <c r="H42" s="380">
        <f>H16+H17+H29+H36</f>
        <v>-1380732.1799999997</v>
      </c>
      <c r="I42" s="45"/>
      <c r="K42" s="402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404"/>
    </row>
    <row r="43" spans="2:24" ht="23.1" customHeight="1">
      <c r="B43" s="43"/>
      <c r="C43" s="370"/>
      <c r="D43" s="53"/>
      <c r="E43" s="53"/>
      <c r="F43" s="377"/>
      <c r="G43" s="377"/>
      <c r="H43" s="377"/>
      <c r="I43" s="45"/>
      <c r="K43" s="402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4"/>
    </row>
    <row r="44" spans="2:24" ht="23.1" customHeight="1">
      <c r="B44" s="43"/>
      <c r="C44" s="368" t="s">
        <v>345</v>
      </c>
      <c r="D44" s="78"/>
      <c r="E44" s="77"/>
      <c r="F44" s="377"/>
      <c r="G44" s="377"/>
      <c r="H44" s="377"/>
      <c r="I44" s="45"/>
      <c r="K44" s="402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4"/>
    </row>
    <row r="45" spans="2:24" ht="23.1" customHeight="1">
      <c r="B45" s="43"/>
      <c r="C45" s="369" t="s">
        <v>346</v>
      </c>
      <c r="D45" s="62"/>
      <c r="E45" s="61"/>
      <c r="F45" s="378">
        <f>SUM(F46:F53)</f>
        <v>0</v>
      </c>
      <c r="G45" s="378">
        <f>SUM(G46:G53)</f>
        <v>0</v>
      </c>
      <c r="H45" s="378">
        <f>SUM(H46:H53)</f>
        <v>0</v>
      </c>
      <c r="I45" s="45"/>
      <c r="K45" s="402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3"/>
      <c r="X45" s="404"/>
    </row>
    <row r="46" spans="2:24" ht="23.1" customHeight="1">
      <c r="B46" s="43"/>
      <c r="C46" s="370"/>
      <c r="D46" s="64" t="s">
        <v>347</v>
      </c>
      <c r="E46" s="64"/>
      <c r="F46" s="451"/>
      <c r="G46" s="451"/>
      <c r="H46" s="451"/>
      <c r="I46" s="45"/>
      <c r="K46" s="402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4"/>
    </row>
    <row r="47" spans="2:24" ht="23.1" customHeight="1">
      <c r="B47" s="43"/>
      <c r="C47" s="370"/>
      <c r="D47" s="64" t="s">
        <v>348</v>
      </c>
      <c r="E47" s="64"/>
      <c r="F47" s="451"/>
      <c r="G47" s="451"/>
      <c r="H47" s="451"/>
      <c r="I47" s="45"/>
      <c r="K47" s="402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4"/>
    </row>
    <row r="48" spans="2:24" ht="23.1" customHeight="1">
      <c r="B48" s="43"/>
      <c r="C48" s="370"/>
      <c r="D48" s="64" t="s">
        <v>349</v>
      </c>
      <c r="E48" s="64"/>
      <c r="F48" s="451"/>
      <c r="G48" s="451"/>
      <c r="H48" s="451"/>
      <c r="I48" s="45"/>
      <c r="K48" s="402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3"/>
      <c r="X48" s="404"/>
    </row>
    <row r="49" spans="2:24" ht="23.1" customHeight="1">
      <c r="B49" s="43"/>
      <c r="C49" s="370"/>
      <c r="D49" s="64" t="s">
        <v>350</v>
      </c>
      <c r="E49" s="64"/>
      <c r="F49" s="451"/>
      <c r="G49" s="451"/>
      <c r="H49" s="451"/>
      <c r="I49" s="45"/>
      <c r="K49" s="402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4"/>
    </row>
    <row r="50" spans="2:24" ht="23.1" customHeight="1">
      <c r="B50" s="43"/>
      <c r="C50" s="370"/>
      <c r="D50" s="64" t="s">
        <v>351</v>
      </c>
      <c r="E50" s="64"/>
      <c r="F50" s="451"/>
      <c r="G50" s="451"/>
      <c r="H50" s="451"/>
      <c r="I50" s="45"/>
      <c r="K50" s="402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4"/>
    </row>
    <row r="51" spans="2:24" ht="23.1" customHeight="1">
      <c r="B51" s="43"/>
      <c r="C51" s="370"/>
      <c r="D51" s="64" t="s">
        <v>352</v>
      </c>
      <c r="E51" s="64"/>
      <c r="F51" s="451"/>
      <c r="G51" s="451"/>
      <c r="H51" s="451"/>
      <c r="I51" s="45"/>
      <c r="K51" s="402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4"/>
    </row>
    <row r="52" spans="2:24" s="67" customFormat="1" ht="23.1" customHeight="1">
      <c r="B52" s="21"/>
      <c r="C52" s="370"/>
      <c r="D52" s="64" t="s">
        <v>378</v>
      </c>
      <c r="E52" s="64"/>
      <c r="F52" s="451"/>
      <c r="G52" s="451"/>
      <c r="H52" s="451"/>
      <c r="I52" s="54"/>
      <c r="K52" s="402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4"/>
    </row>
    <row r="53" spans="2:24" ht="23.1" customHeight="1">
      <c r="B53" s="43"/>
      <c r="C53" s="370"/>
      <c r="D53" s="64" t="s">
        <v>379</v>
      </c>
      <c r="E53" s="64"/>
      <c r="F53" s="451"/>
      <c r="G53" s="451"/>
      <c r="H53" s="451"/>
      <c r="I53" s="45"/>
      <c r="K53" s="402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4"/>
    </row>
    <row r="54" spans="2:24" ht="23.1" customHeight="1">
      <c r="B54" s="43"/>
      <c r="C54" s="369" t="s">
        <v>353</v>
      </c>
      <c r="D54" s="62"/>
      <c r="E54" s="61"/>
      <c r="F54" s="378">
        <f>SUM(F55:F62)</f>
        <v>0</v>
      </c>
      <c r="G54" s="378">
        <f>SUM(G55:G62)</f>
        <v>0</v>
      </c>
      <c r="H54" s="378">
        <f>SUM(H55:H62)</f>
        <v>0</v>
      </c>
      <c r="I54" s="45"/>
      <c r="K54" s="402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4"/>
    </row>
    <row r="55" spans="2:24" ht="23.1" customHeight="1">
      <c r="B55" s="43"/>
      <c r="C55" s="370"/>
      <c r="D55" s="64" t="s">
        <v>347</v>
      </c>
      <c r="E55" s="64"/>
      <c r="F55" s="451"/>
      <c r="G55" s="451"/>
      <c r="H55" s="451"/>
      <c r="I55" s="45"/>
      <c r="K55" s="402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4"/>
    </row>
    <row r="56" spans="2:24" ht="23.1" customHeight="1">
      <c r="B56" s="43"/>
      <c r="C56" s="370"/>
      <c r="D56" s="64" t="s">
        <v>348</v>
      </c>
      <c r="E56" s="64"/>
      <c r="F56" s="451"/>
      <c r="G56" s="451"/>
      <c r="H56" s="451"/>
      <c r="I56" s="45"/>
      <c r="K56" s="402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4"/>
    </row>
    <row r="57" spans="2:24" ht="23.1" customHeight="1">
      <c r="B57" s="43"/>
      <c r="C57" s="370"/>
      <c r="D57" s="64" t="s">
        <v>349</v>
      </c>
      <c r="E57" s="64"/>
      <c r="F57" s="451"/>
      <c r="G57" s="451"/>
      <c r="H57" s="451"/>
      <c r="I57" s="45"/>
      <c r="K57" s="402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4"/>
    </row>
    <row r="58" spans="2:24" ht="23.1" customHeight="1">
      <c r="B58" s="43"/>
      <c r="C58" s="370"/>
      <c r="D58" s="64" t="s">
        <v>350</v>
      </c>
      <c r="E58" s="64"/>
      <c r="F58" s="451"/>
      <c r="G58" s="451"/>
      <c r="H58" s="451"/>
      <c r="I58" s="45"/>
      <c r="K58" s="402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4"/>
    </row>
    <row r="59" spans="2:24" ht="23.1" customHeight="1">
      <c r="B59" s="43"/>
      <c r="C59" s="370"/>
      <c r="D59" s="64" t="s">
        <v>351</v>
      </c>
      <c r="E59" s="64"/>
      <c r="F59" s="451"/>
      <c r="G59" s="451"/>
      <c r="H59" s="451"/>
      <c r="I59" s="45"/>
      <c r="K59" s="402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4"/>
    </row>
    <row r="60" spans="2:24" ht="23.1" customHeight="1">
      <c r="B60" s="43"/>
      <c r="C60" s="370"/>
      <c r="D60" s="64" t="s">
        <v>352</v>
      </c>
      <c r="E60" s="64"/>
      <c r="F60" s="451"/>
      <c r="G60" s="451"/>
      <c r="H60" s="451"/>
      <c r="I60" s="45"/>
      <c r="K60" s="402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4"/>
    </row>
    <row r="61" spans="2:24" ht="23.1" customHeight="1">
      <c r="B61" s="43"/>
      <c r="C61" s="370"/>
      <c r="D61" s="64" t="s">
        <v>378</v>
      </c>
      <c r="E61" s="64"/>
      <c r="F61" s="451"/>
      <c r="G61" s="451"/>
      <c r="H61" s="451"/>
      <c r="I61" s="45"/>
      <c r="K61" s="402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4"/>
    </row>
    <row r="62" spans="2:24" ht="23.1" customHeight="1">
      <c r="B62" s="43"/>
      <c r="C62" s="370"/>
      <c r="D62" s="64" t="s">
        <v>379</v>
      </c>
      <c r="E62" s="64"/>
      <c r="F62" s="451"/>
      <c r="G62" s="451"/>
      <c r="H62" s="451"/>
      <c r="I62" s="45"/>
      <c r="K62" s="402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4"/>
    </row>
    <row r="63" spans="2:24" ht="23.1" customHeight="1" thickBot="1">
      <c r="B63" s="43"/>
      <c r="C63" s="371" t="s">
        <v>354</v>
      </c>
      <c r="D63" s="75"/>
      <c r="E63" s="75"/>
      <c r="F63" s="380">
        <f>F45+F54</f>
        <v>0</v>
      </c>
      <c r="G63" s="380">
        <f>G45+G54</f>
        <v>0</v>
      </c>
      <c r="H63" s="380">
        <f>H45+H54</f>
        <v>0</v>
      </c>
      <c r="I63" s="45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4"/>
    </row>
    <row r="64" spans="2:24" ht="23.1" customHeight="1">
      <c r="B64" s="43"/>
      <c r="C64" s="370"/>
      <c r="D64" s="53"/>
      <c r="E64" s="53"/>
      <c r="F64" s="377"/>
      <c r="G64" s="377"/>
      <c r="H64" s="377"/>
      <c r="I64" s="45"/>
      <c r="K64" s="402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4"/>
    </row>
    <row r="65" spans="2:24" ht="23.1" customHeight="1">
      <c r="B65" s="43"/>
      <c r="C65" s="368" t="s">
        <v>355</v>
      </c>
      <c r="D65" s="78"/>
      <c r="E65" s="77"/>
      <c r="F65" s="377"/>
      <c r="G65" s="377"/>
      <c r="H65" s="377"/>
      <c r="I65" s="45"/>
      <c r="K65" s="402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4"/>
    </row>
    <row r="66" spans="2:24" ht="23.1" customHeight="1">
      <c r="B66" s="43"/>
      <c r="C66" s="369" t="s">
        <v>356</v>
      </c>
      <c r="D66" s="62"/>
      <c r="E66" s="61"/>
      <c r="F66" s="378">
        <f>SUM(F67:F71)</f>
        <v>0</v>
      </c>
      <c r="G66" s="378">
        <f>SUM(G67:G71)</f>
        <v>0</v>
      </c>
      <c r="H66" s="378">
        <f>SUM(H67:H71)</f>
        <v>0</v>
      </c>
      <c r="I66" s="45"/>
      <c r="K66" s="402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4"/>
    </row>
    <row r="67" spans="2:24" ht="23.1" customHeight="1">
      <c r="B67" s="43"/>
      <c r="C67" s="370"/>
      <c r="D67" s="64" t="s">
        <v>357</v>
      </c>
      <c r="E67" s="64"/>
      <c r="F67" s="451"/>
      <c r="G67" s="451"/>
      <c r="H67" s="451"/>
      <c r="I67" s="45"/>
      <c r="K67" s="402" t="s">
        <v>1003</v>
      </c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4"/>
    </row>
    <row r="68" spans="2:24" ht="23.1" customHeight="1">
      <c r="B68" s="43"/>
      <c r="C68" s="370"/>
      <c r="D68" s="64" t="s">
        <v>358</v>
      </c>
      <c r="E68" s="64"/>
      <c r="F68" s="451"/>
      <c r="G68" s="451"/>
      <c r="H68" s="451"/>
      <c r="I68" s="45"/>
      <c r="K68" s="402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4"/>
    </row>
    <row r="69" spans="2:24" ht="23.1" customHeight="1">
      <c r="B69" s="43"/>
      <c r="C69" s="370"/>
      <c r="D69" s="533" t="s">
        <v>707</v>
      </c>
      <c r="E69" s="64"/>
      <c r="F69" s="451"/>
      <c r="G69" s="451"/>
      <c r="H69" s="451"/>
      <c r="I69" s="45"/>
      <c r="K69" s="402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4"/>
    </row>
    <row r="70" spans="2:24" ht="23.1" customHeight="1">
      <c r="B70" s="43"/>
      <c r="C70" s="370"/>
      <c r="D70" s="64" t="s">
        <v>359</v>
      </c>
      <c r="E70" s="64"/>
      <c r="F70" s="451"/>
      <c r="G70" s="451"/>
      <c r="H70" s="451"/>
      <c r="I70" s="45"/>
      <c r="K70" s="402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4"/>
    </row>
    <row r="71" spans="2:24" ht="23.1" customHeight="1">
      <c r="B71" s="43"/>
      <c r="C71" s="370"/>
      <c r="D71" s="64" t="s">
        <v>360</v>
      </c>
      <c r="E71" s="64"/>
      <c r="F71" s="451"/>
      <c r="G71" s="451"/>
      <c r="H71" s="451"/>
      <c r="I71" s="45"/>
      <c r="K71" s="402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4"/>
    </row>
    <row r="72" spans="2:24" ht="23.1" customHeight="1">
      <c r="B72" s="43"/>
      <c r="C72" s="369" t="s">
        <v>361</v>
      </c>
      <c r="D72" s="62"/>
      <c r="E72" s="61"/>
      <c r="F72" s="378">
        <f>+F73+F79</f>
        <v>0</v>
      </c>
      <c r="G72" s="378">
        <f>+G73+G79</f>
        <v>0</v>
      </c>
      <c r="H72" s="378">
        <f>+H73+H79</f>
        <v>0</v>
      </c>
      <c r="I72" s="45"/>
      <c r="K72" s="402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4"/>
    </row>
    <row r="73" spans="2:24" ht="23.1" customHeight="1">
      <c r="B73" s="43"/>
      <c r="C73" s="370"/>
      <c r="D73" s="64" t="s">
        <v>362</v>
      </c>
      <c r="E73" s="64"/>
      <c r="F73" s="379">
        <f>SUM(F74:F78)</f>
        <v>0</v>
      </c>
      <c r="G73" s="379">
        <f>SUM(G74:G78)</f>
        <v>0</v>
      </c>
      <c r="H73" s="379">
        <f>SUM(H74:H78)</f>
        <v>0</v>
      </c>
      <c r="I73" s="45"/>
      <c r="K73" s="402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4"/>
    </row>
    <row r="74" spans="2:24" ht="23.1" customHeight="1">
      <c r="B74" s="43"/>
      <c r="C74" s="372"/>
      <c r="D74" s="79"/>
      <c r="E74" s="79" t="s">
        <v>363</v>
      </c>
      <c r="F74" s="452"/>
      <c r="G74" s="452"/>
      <c r="H74" s="452"/>
      <c r="I74" s="45"/>
      <c r="K74" s="402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4"/>
    </row>
    <row r="75" spans="2:24" ht="23.1" customHeight="1">
      <c r="B75" s="43"/>
      <c r="C75" s="372"/>
      <c r="D75" s="79"/>
      <c r="E75" s="79" t="s">
        <v>364</v>
      </c>
      <c r="F75" s="452"/>
      <c r="G75" s="452"/>
      <c r="H75" s="452"/>
      <c r="I75" s="45"/>
      <c r="K75" s="402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4"/>
    </row>
    <row r="76" spans="2:24" ht="23.1" customHeight="1">
      <c r="B76" s="43"/>
      <c r="C76" s="372"/>
      <c r="D76" s="79"/>
      <c r="E76" s="79" t="s">
        <v>365</v>
      </c>
      <c r="F76" s="452"/>
      <c r="G76" s="452"/>
      <c r="H76" s="452"/>
      <c r="I76" s="45"/>
      <c r="K76" s="402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4"/>
    </row>
    <row r="77" spans="2:24" ht="23.1" customHeight="1">
      <c r="B77" s="43"/>
      <c r="C77" s="372"/>
      <c r="D77" s="79"/>
      <c r="E77" s="79" t="s">
        <v>366</v>
      </c>
      <c r="F77" s="452"/>
      <c r="G77" s="452"/>
      <c r="H77" s="452"/>
      <c r="I77" s="45"/>
      <c r="K77" s="402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4"/>
    </row>
    <row r="78" spans="2:24" ht="23.1" customHeight="1">
      <c r="B78" s="43"/>
      <c r="C78" s="372"/>
      <c r="D78" s="79"/>
      <c r="E78" s="79" t="s">
        <v>367</v>
      </c>
      <c r="F78" s="452"/>
      <c r="G78" s="452"/>
      <c r="H78" s="452"/>
      <c r="I78" s="45"/>
      <c r="K78" s="402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4"/>
    </row>
    <row r="79" spans="2:24" ht="23.1" customHeight="1">
      <c r="B79" s="43"/>
      <c r="C79" s="370"/>
      <c r="D79" s="65" t="s">
        <v>368</v>
      </c>
      <c r="E79" s="65"/>
      <c r="F79" s="381">
        <f>SUM(F80:F84)</f>
        <v>0</v>
      </c>
      <c r="G79" s="381">
        <f>SUM(G80:G84)</f>
        <v>0</v>
      </c>
      <c r="H79" s="381">
        <f>SUM(H80:H84)</f>
        <v>0</v>
      </c>
      <c r="I79" s="45"/>
      <c r="K79" s="402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4"/>
    </row>
    <row r="80" spans="2:24" ht="23.1" customHeight="1">
      <c r="B80" s="43"/>
      <c r="C80" s="372"/>
      <c r="D80" s="79"/>
      <c r="E80" s="79" t="s">
        <v>702</v>
      </c>
      <c r="F80" s="452"/>
      <c r="G80" s="452"/>
      <c r="H80" s="452"/>
      <c r="I80" s="45"/>
      <c r="K80" s="402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4"/>
    </row>
    <row r="81" spans="2:24" ht="23.1" customHeight="1">
      <c r="B81" s="43"/>
      <c r="C81" s="372"/>
      <c r="D81" s="79"/>
      <c r="E81" s="79" t="s">
        <v>703</v>
      </c>
      <c r="F81" s="452"/>
      <c r="G81" s="452"/>
      <c r="H81" s="452"/>
      <c r="I81" s="45"/>
      <c r="K81" s="402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4"/>
    </row>
    <row r="82" spans="2:24" ht="23.1" customHeight="1">
      <c r="B82" s="43"/>
      <c r="C82" s="372"/>
      <c r="D82" s="79"/>
      <c r="E82" s="79" t="s">
        <v>704</v>
      </c>
      <c r="F82" s="452"/>
      <c r="G82" s="452"/>
      <c r="H82" s="452"/>
      <c r="I82" s="45"/>
      <c r="K82" s="402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4"/>
    </row>
    <row r="83" spans="2:24" ht="23.1" customHeight="1">
      <c r="B83" s="43"/>
      <c r="C83" s="372"/>
      <c r="D83" s="79"/>
      <c r="E83" s="79" t="s">
        <v>705</v>
      </c>
      <c r="F83" s="452"/>
      <c r="G83" s="452"/>
      <c r="H83" s="452"/>
      <c r="I83" s="45"/>
      <c r="K83" s="402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4"/>
    </row>
    <row r="84" spans="2:24" ht="23.1" customHeight="1">
      <c r="B84" s="43"/>
      <c r="C84" s="372"/>
      <c r="D84" s="79"/>
      <c r="E84" s="79" t="s">
        <v>706</v>
      </c>
      <c r="F84" s="452"/>
      <c r="G84" s="452"/>
      <c r="H84" s="452"/>
      <c r="I84" s="45"/>
      <c r="K84" s="402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4"/>
    </row>
    <row r="85" spans="2:24" ht="23.1" customHeight="1">
      <c r="B85" s="43"/>
      <c r="C85" s="369" t="s">
        <v>369</v>
      </c>
      <c r="D85" s="62"/>
      <c r="E85" s="61"/>
      <c r="F85" s="378">
        <f>+SUM(F86:F87)</f>
        <v>0</v>
      </c>
      <c r="G85" s="378">
        <f>+SUM(G86:G87)</f>
        <v>0</v>
      </c>
      <c r="H85" s="378">
        <f>+SUM(H86:H87)</f>
        <v>0</v>
      </c>
      <c r="I85" s="45"/>
      <c r="K85" s="402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4"/>
    </row>
    <row r="86" spans="2:24" ht="23.1" customHeight="1">
      <c r="B86" s="43"/>
      <c r="C86" s="370"/>
      <c r="D86" s="64" t="s">
        <v>370</v>
      </c>
      <c r="E86" s="64"/>
      <c r="F86" s="451"/>
      <c r="G86" s="451"/>
      <c r="H86" s="451"/>
      <c r="I86" s="45"/>
      <c r="K86" s="402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4"/>
    </row>
    <row r="87" spans="2:24" ht="23.1" customHeight="1">
      <c r="B87" s="43"/>
      <c r="C87" s="370"/>
      <c r="D87" s="64" t="s">
        <v>371</v>
      </c>
      <c r="E87" s="64"/>
      <c r="F87" s="451"/>
      <c r="G87" s="451"/>
      <c r="H87" s="451"/>
      <c r="I87" s="45"/>
      <c r="K87" s="402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4"/>
    </row>
    <row r="88" spans="2:24" ht="23.1" customHeight="1" thickBot="1">
      <c r="B88" s="43"/>
      <c r="C88" s="371" t="s">
        <v>376</v>
      </c>
      <c r="D88" s="75"/>
      <c r="E88" s="75"/>
      <c r="F88" s="380">
        <f>+F66+F72+F85</f>
        <v>0</v>
      </c>
      <c r="G88" s="380">
        <f>+G66+G72+G85</f>
        <v>0</v>
      </c>
      <c r="H88" s="380">
        <f>+H66+H72+H85</f>
        <v>0</v>
      </c>
      <c r="I88" s="45"/>
      <c r="K88" s="402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4"/>
    </row>
    <row r="89" spans="2:24" ht="23.1" customHeight="1">
      <c r="B89" s="43"/>
      <c r="C89" s="370"/>
      <c r="D89" s="53"/>
      <c r="E89" s="53"/>
      <c r="F89" s="377"/>
      <c r="G89" s="377"/>
      <c r="H89" s="377"/>
      <c r="I89" s="45"/>
      <c r="K89" s="402"/>
      <c r="L89" s="403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4"/>
    </row>
    <row r="90" spans="2:24" ht="23.1" customHeight="1" thickBot="1">
      <c r="B90" s="43"/>
      <c r="C90" s="371" t="s">
        <v>372</v>
      </c>
      <c r="D90" s="75"/>
      <c r="E90" s="75"/>
      <c r="F90" s="380">
        <v>0</v>
      </c>
      <c r="G90" s="380">
        <v>0</v>
      </c>
      <c r="H90" s="380">
        <v>0</v>
      </c>
      <c r="I90" s="45"/>
      <c r="K90" s="402"/>
      <c r="L90" s="403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4"/>
    </row>
    <row r="91" spans="2:24" ht="23.1" customHeight="1">
      <c r="B91" s="43"/>
      <c r="C91" s="370"/>
      <c r="D91" s="53"/>
      <c r="E91" s="53"/>
      <c r="F91" s="377"/>
      <c r="G91" s="377"/>
      <c r="H91" s="377"/>
      <c r="I91" s="45"/>
      <c r="K91" s="402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4"/>
    </row>
    <row r="92" spans="2:24" ht="23.1" customHeight="1" thickBot="1">
      <c r="B92" s="43"/>
      <c r="C92" s="371" t="s">
        <v>377</v>
      </c>
      <c r="D92" s="75"/>
      <c r="E92" s="75"/>
      <c r="F92" s="380">
        <f>+F42+F63+F88+F90</f>
        <v>-1185319.0299999998</v>
      </c>
      <c r="G92" s="380">
        <f>+G42+G63+G88+G90</f>
        <v>-1095326.42</v>
      </c>
      <c r="H92" s="380">
        <f>+H42+H63+H88+H90</f>
        <v>-1380732.1799999997</v>
      </c>
      <c r="I92" s="45"/>
      <c r="K92" s="402"/>
      <c r="L92" s="403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4"/>
    </row>
    <row r="93" spans="2:24" ht="23.1" customHeight="1">
      <c r="B93" s="43"/>
      <c r="C93" s="53"/>
      <c r="D93" s="53"/>
      <c r="E93" s="53"/>
      <c r="F93" s="53"/>
      <c r="G93" s="53"/>
      <c r="H93" s="53"/>
      <c r="I93" s="45"/>
      <c r="K93" s="402"/>
      <c r="L93" s="403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3"/>
      <c r="X93" s="404"/>
    </row>
    <row r="94" spans="2:24" ht="23.1" customHeight="1" thickBot="1">
      <c r="B94" s="43"/>
      <c r="C94" s="382" t="s">
        <v>781</v>
      </c>
      <c r="D94" s="383"/>
      <c r="E94" s="383"/>
      <c r="F94" s="453">
        <v>354177.45</v>
      </c>
      <c r="G94" s="384">
        <f>+F95</f>
        <v>158415.6</v>
      </c>
      <c r="H94" s="384">
        <f>+G95</f>
        <v>42215.040000000001</v>
      </c>
      <c r="I94" s="45"/>
      <c r="K94" s="1087"/>
      <c r="L94" s="1088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4"/>
    </row>
    <row r="95" spans="2:24" ht="23.1" customHeight="1" thickBot="1">
      <c r="B95" s="43"/>
      <c r="C95" s="371" t="s">
        <v>373</v>
      </c>
      <c r="D95" s="75"/>
      <c r="E95" s="75"/>
      <c r="F95" s="380">
        <f>'FC-4_ACTIVO'!E90</f>
        <v>158415.6</v>
      </c>
      <c r="G95" s="380">
        <f>+'FC-4_ACTIVO'!F90</f>
        <v>42215.040000000001</v>
      </c>
      <c r="H95" s="380">
        <f>+'FC-4_ACTIVO'!G90</f>
        <v>66215.039999999994</v>
      </c>
      <c r="I95" s="45"/>
      <c r="K95" s="1087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4"/>
    </row>
    <row r="96" spans="2:24" ht="23.1" customHeight="1">
      <c r="B96" s="43"/>
      <c r="C96" s="727"/>
      <c r="D96" s="728"/>
      <c r="E96" s="728"/>
      <c r="F96" s="729"/>
      <c r="G96" s="729"/>
      <c r="H96" s="729"/>
      <c r="I96" s="45"/>
      <c r="K96" s="402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4"/>
    </row>
    <row r="97" spans="2:24" ht="23.1" customHeight="1">
      <c r="B97" s="43"/>
      <c r="C97" s="96" t="s">
        <v>741</v>
      </c>
      <c r="D97" s="728"/>
      <c r="E97" s="728"/>
      <c r="F97" s="729"/>
      <c r="G97" s="729"/>
      <c r="H97" s="729"/>
      <c r="I97" s="45"/>
      <c r="K97" s="402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4"/>
    </row>
    <row r="98" spans="2:24" ht="23.1" customHeight="1">
      <c r="B98" s="43"/>
      <c r="C98" s="730" t="s">
        <v>782</v>
      </c>
      <c r="D98" s="728"/>
      <c r="E98" s="728"/>
      <c r="F98" s="729"/>
      <c r="G98" s="729"/>
      <c r="H98" s="729"/>
      <c r="I98" s="45"/>
      <c r="K98" s="402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4"/>
    </row>
    <row r="99" spans="2:24" ht="23.1" customHeight="1">
      <c r="B99" s="43"/>
      <c r="C99" s="727"/>
      <c r="D99" s="728"/>
      <c r="E99" s="728"/>
      <c r="F99" s="729"/>
      <c r="G99" s="729"/>
      <c r="H99" s="729"/>
      <c r="I99" s="45"/>
      <c r="K99" s="402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4"/>
    </row>
    <row r="100" spans="2:24" ht="23.1" customHeight="1" thickBot="1">
      <c r="B100" s="47"/>
      <c r="C100" s="1116"/>
      <c r="D100" s="1116"/>
      <c r="E100" s="1116"/>
      <c r="F100" s="1116"/>
      <c r="G100" s="1116"/>
      <c r="H100" s="85"/>
      <c r="I100" s="50"/>
      <c r="K100" s="405"/>
      <c r="L100" s="406"/>
      <c r="M100" s="406"/>
      <c r="N100" s="406"/>
      <c r="O100" s="406"/>
      <c r="P100" s="406"/>
      <c r="Q100" s="406"/>
      <c r="R100" s="406"/>
      <c r="S100" s="406"/>
      <c r="T100" s="406"/>
      <c r="U100" s="406"/>
      <c r="V100" s="406"/>
      <c r="W100" s="406"/>
      <c r="X100" s="407"/>
    </row>
    <row r="101" spans="2:24" ht="23.1" customHeight="1">
      <c r="J101" s="38" t="s">
        <v>951</v>
      </c>
    </row>
    <row r="102" spans="2:24" ht="12.75">
      <c r="C102" s="34" t="s">
        <v>72</v>
      </c>
      <c r="H102" s="86" t="s">
        <v>44</v>
      </c>
    </row>
    <row r="103" spans="2:24" ht="12.75">
      <c r="C103" s="34" t="s">
        <v>73</v>
      </c>
    </row>
    <row r="104" spans="2:24" ht="12.75">
      <c r="C104" s="34" t="s">
        <v>74</v>
      </c>
    </row>
    <row r="105" spans="2:24" ht="12.75">
      <c r="C105" s="34" t="s">
        <v>75</v>
      </c>
    </row>
    <row r="106" spans="2:24" ht="12.75">
      <c r="C106" s="34" t="s">
        <v>76</v>
      </c>
    </row>
  </sheetData>
  <sheetProtection password="C494" sheet="1" objects="1" scenarios="1"/>
  <mergeCells count="3">
    <mergeCell ref="H6:H7"/>
    <mergeCell ref="D9:H9"/>
    <mergeCell ref="C100:G100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H61"/>
  <sheetViews>
    <sheetView zoomScale="84" workbookViewId="0">
      <selection activeCell="M22" sqref="M22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42.6640625" style="88" customWidth="1"/>
    <col min="5" max="6" width="12.6640625" style="89" customWidth="1"/>
    <col min="7" max="8" width="15.6640625" style="89" customWidth="1"/>
    <col min="9" max="18" width="12.6640625" style="89" customWidth="1"/>
    <col min="19" max="19" width="3.33203125" style="88" customWidth="1"/>
    <col min="20" max="16384" width="10.6640625" style="88"/>
  </cols>
  <sheetData>
    <row r="2" spans="1:34" ht="23.1" customHeight="1">
      <c r="D2" s="56" t="s">
        <v>374</v>
      </c>
    </row>
    <row r="3" spans="1:34" ht="23.1" customHeight="1">
      <c r="D3" s="56" t="s">
        <v>375</v>
      </c>
    </row>
    <row r="4" spans="1:34" ht="23.1" customHeight="1" thickBot="1">
      <c r="A4" s="88" t="s">
        <v>950</v>
      </c>
    </row>
    <row r="5" spans="1:34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  <c r="U5" s="386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  <c r="AG5" s="387"/>
      <c r="AH5" s="388"/>
    </row>
    <row r="6" spans="1:34" ht="30" customHeight="1">
      <c r="B6" s="94"/>
      <c r="C6" s="59" t="s">
        <v>0</v>
      </c>
      <c r="R6" s="1110">
        <f>ejercicio</f>
        <v>2019</v>
      </c>
      <c r="S6" s="95"/>
      <c r="U6" s="389"/>
      <c r="V6" s="390" t="s">
        <v>689</v>
      </c>
      <c r="W6" s="391"/>
      <c r="X6" s="391"/>
      <c r="Y6" s="391"/>
      <c r="Z6" s="391"/>
      <c r="AA6" s="391"/>
      <c r="AB6" s="391"/>
      <c r="AC6" s="391"/>
      <c r="AD6" s="391"/>
      <c r="AE6" s="391"/>
      <c r="AF6" s="391"/>
      <c r="AG6" s="391"/>
      <c r="AH6" s="392"/>
    </row>
    <row r="7" spans="1:34" ht="30" customHeight="1">
      <c r="B7" s="94"/>
      <c r="C7" s="59" t="s">
        <v>1</v>
      </c>
      <c r="R7" s="1110"/>
      <c r="S7" s="95"/>
      <c r="U7" s="389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1"/>
      <c r="AG7" s="391"/>
      <c r="AH7" s="392"/>
    </row>
    <row r="8" spans="1:34" ht="30" customHeight="1">
      <c r="B8" s="94"/>
      <c r="C8" s="96"/>
      <c r="R8" s="97"/>
      <c r="S8" s="95"/>
      <c r="U8" s="389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2"/>
    </row>
    <row r="9" spans="1:34" s="58" customFormat="1" ht="30" customHeight="1">
      <c r="B9" s="98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117"/>
      <c r="R9" s="1117"/>
      <c r="S9" s="99"/>
      <c r="U9" s="393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5"/>
    </row>
    <row r="10" spans="1:34" ht="7.35" customHeight="1">
      <c r="B10" s="94"/>
      <c r="S10" s="95"/>
      <c r="U10" s="389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2"/>
    </row>
    <row r="11" spans="1:34" s="104" customFormat="1" ht="30" customHeight="1">
      <c r="B11" s="100"/>
      <c r="C11" s="101" t="s">
        <v>745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3"/>
      <c r="U11" s="396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8"/>
    </row>
    <row r="12" spans="1:34" s="104" customFormat="1" ht="30" customHeight="1">
      <c r="B12" s="100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103"/>
      <c r="U12" s="396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8"/>
    </row>
    <row r="13" spans="1:34" s="107" customFormat="1" ht="19.350000000000001" customHeight="1">
      <c r="B13" s="105"/>
      <c r="C13" s="354"/>
      <c r="D13" s="354"/>
      <c r="E13" s="354"/>
      <c r="F13" s="354"/>
      <c r="G13" s="354"/>
      <c r="H13" s="355" t="s">
        <v>384</v>
      </c>
      <c r="I13" s="1171" t="s">
        <v>750</v>
      </c>
      <c r="J13" s="1172"/>
      <c r="K13" s="1172"/>
      <c r="L13" s="1172"/>
      <c r="M13" s="1173"/>
      <c r="N13" s="356"/>
      <c r="O13" s="357"/>
      <c r="P13" s="358" t="s">
        <v>387</v>
      </c>
      <c r="Q13" s="359">
        <f>ejercicio-1</f>
        <v>2018</v>
      </c>
      <c r="R13" s="698" t="s">
        <v>751</v>
      </c>
      <c r="S13" s="106"/>
      <c r="U13" s="389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2"/>
    </row>
    <row r="14" spans="1:34" s="29" customFormat="1" ht="19.350000000000001" customHeight="1">
      <c r="B14" s="105"/>
      <c r="C14" s="360"/>
      <c r="D14" s="360"/>
      <c r="E14" s="360"/>
      <c r="F14" s="360"/>
      <c r="G14" s="360"/>
      <c r="H14" s="361" t="s">
        <v>385</v>
      </c>
      <c r="I14" s="362"/>
      <c r="J14" s="363"/>
      <c r="K14" s="363"/>
      <c r="L14" s="363"/>
      <c r="M14" s="364"/>
      <c r="N14" s="362"/>
      <c r="O14" s="363"/>
      <c r="P14" s="363"/>
      <c r="Q14" s="363"/>
      <c r="R14" s="364"/>
      <c r="S14" s="106"/>
      <c r="U14" s="389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2"/>
    </row>
    <row r="15" spans="1:34" s="29" customFormat="1" ht="19.350000000000001" customHeight="1">
      <c r="B15" s="105"/>
      <c r="C15" s="365" t="s">
        <v>380</v>
      </c>
      <c r="D15" s="365" t="s">
        <v>381</v>
      </c>
      <c r="E15" s="365" t="s">
        <v>382</v>
      </c>
      <c r="F15" s="365" t="s">
        <v>383</v>
      </c>
      <c r="G15" s="365" t="s">
        <v>746</v>
      </c>
      <c r="H15" s="365">
        <f>ejercicio-1</f>
        <v>2018</v>
      </c>
      <c r="I15" s="365">
        <f>+ejercicio</f>
        <v>2019</v>
      </c>
      <c r="J15" s="365">
        <f>ejercicio+1</f>
        <v>2020</v>
      </c>
      <c r="K15" s="365">
        <f>ejercicio+2</f>
        <v>2021</v>
      </c>
      <c r="L15" s="365">
        <f>ejercicio+3</f>
        <v>2022</v>
      </c>
      <c r="M15" s="365" t="s">
        <v>386</v>
      </c>
      <c r="N15" s="365">
        <f>+ejercicio</f>
        <v>2019</v>
      </c>
      <c r="O15" s="365">
        <f>ejercicio+1</f>
        <v>2020</v>
      </c>
      <c r="P15" s="365">
        <f>ejercicio+2</f>
        <v>2021</v>
      </c>
      <c r="Q15" s="365">
        <f>ejercicio+3</f>
        <v>2022</v>
      </c>
      <c r="R15" s="365" t="s">
        <v>386</v>
      </c>
      <c r="S15" s="106"/>
      <c r="U15" s="389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2"/>
    </row>
    <row r="16" spans="1:34" ht="23.1" customHeight="1">
      <c r="B16" s="105"/>
      <c r="C16" s="454"/>
      <c r="D16" s="1073" t="s">
        <v>1050</v>
      </c>
      <c r="E16" s="455">
        <v>2019</v>
      </c>
      <c r="F16" s="455">
        <v>2019</v>
      </c>
      <c r="G16" s="456">
        <v>83400</v>
      </c>
      <c r="H16" s="456"/>
      <c r="I16" s="456">
        <v>83400</v>
      </c>
      <c r="J16" s="456"/>
      <c r="K16" s="456"/>
      <c r="L16" s="456"/>
      <c r="M16" s="456"/>
      <c r="N16" s="456"/>
      <c r="O16" s="456"/>
      <c r="P16" s="456"/>
      <c r="Q16" s="456"/>
      <c r="R16" s="456"/>
      <c r="S16" s="95"/>
      <c r="U16" s="389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2"/>
    </row>
    <row r="17" spans="2:34" ht="23.1" customHeight="1">
      <c r="B17" s="105"/>
      <c r="C17" s="457"/>
      <c r="D17" s="1074" t="s">
        <v>1061</v>
      </c>
      <c r="E17" s="459">
        <v>2019</v>
      </c>
      <c r="F17" s="459">
        <v>2019</v>
      </c>
      <c r="G17" s="460">
        <v>50000</v>
      </c>
      <c r="H17" s="460"/>
      <c r="I17" s="460">
        <v>50000</v>
      </c>
      <c r="J17" s="460"/>
      <c r="K17" s="460"/>
      <c r="L17" s="460"/>
      <c r="M17" s="460"/>
      <c r="N17" s="460"/>
      <c r="O17" s="460"/>
      <c r="P17" s="460"/>
      <c r="Q17" s="460"/>
      <c r="R17" s="460"/>
      <c r="S17" s="95"/>
      <c r="U17" s="389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2"/>
    </row>
    <row r="18" spans="2:34" ht="23.1" customHeight="1">
      <c r="B18" s="105"/>
      <c r="C18" s="457"/>
      <c r="D18" s="1074" t="s">
        <v>1062</v>
      </c>
      <c r="E18" s="459">
        <v>2019</v>
      </c>
      <c r="F18" s="459">
        <v>2019</v>
      </c>
      <c r="G18" s="460">
        <v>60000</v>
      </c>
      <c r="H18" s="460"/>
      <c r="I18" s="460">
        <v>60000</v>
      </c>
      <c r="J18" s="460"/>
      <c r="K18" s="460"/>
      <c r="L18" s="460"/>
      <c r="M18" s="460"/>
      <c r="N18" s="460"/>
      <c r="O18" s="460"/>
      <c r="P18" s="460"/>
      <c r="Q18" s="460"/>
      <c r="R18" s="460"/>
      <c r="S18" s="95"/>
      <c r="U18" s="389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2"/>
    </row>
    <row r="19" spans="2:34" ht="23.1" customHeight="1">
      <c r="B19" s="105"/>
      <c r="C19" s="457"/>
      <c r="D19" s="1074"/>
      <c r="E19" s="459"/>
      <c r="F19" s="459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95"/>
      <c r="U19" s="389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2"/>
    </row>
    <row r="20" spans="2:34" ht="23.1" customHeight="1">
      <c r="B20" s="105"/>
      <c r="C20" s="457"/>
      <c r="D20" s="1074"/>
      <c r="E20" s="459"/>
      <c r="F20" s="459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95"/>
      <c r="U20" s="389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2"/>
    </row>
    <row r="21" spans="2:34" ht="23.1" customHeight="1">
      <c r="B21" s="105"/>
      <c r="C21" s="457"/>
      <c r="D21" s="458"/>
      <c r="E21" s="459"/>
      <c r="F21" s="459"/>
      <c r="G21" s="460"/>
      <c r="H21" s="460"/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95"/>
      <c r="U21" s="389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2"/>
    </row>
    <row r="22" spans="2:34" ht="23.1" customHeight="1">
      <c r="B22" s="105"/>
      <c r="C22" s="457"/>
      <c r="D22" s="458"/>
      <c r="E22" s="459"/>
      <c r="F22" s="459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95"/>
      <c r="U22" s="389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2"/>
    </row>
    <row r="23" spans="2:34" ht="23.1" customHeight="1">
      <c r="B23" s="105"/>
      <c r="C23" s="457"/>
      <c r="D23" s="458"/>
      <c r="E23" s="459"/>
      <c r="F23" s="459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95"/>
      <c r="U23" s="389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1"/>
      <c r="AG23" s="391"/>
      <c r="AH23" s="392"/>
    </row>
    <row r="24" spans="2:34" ht="23.1" customHeight="1">
      <c r="B24" s="105"/>
      <c r="C24" s="457"/>
      <c r="D24" s="458"/>
      <c r="E24" s="459"/>
      <c r="F24" s="459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95"/>
      <c r="U24" s="389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2"/>
    </row>
    <row r="25" spans="2:34" ht="23.1" customHeight="1">
      <c r="B25" s="105"/>
      <c r="C25" s="457"/>
      <c r="D25" s="458"/>
      <c r="E25" s="459"/>
      <c r="F25" s="459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95"/>
      <c r="U25" s="389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2"/>
    </row>
    <row r="26" spans="2:34" ht="23.1" customHeight="1">
      <c r="B26" s="105"/>
      <c r="C26" s="457"/>
      <c r="D26" s="458"/>
      <c r="E26" s="459"/>
      <c r="F26" s="459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95"/>
      <c r="U26" s="389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2"/>
    </row>
    <row r="27" spans="2:34" ht="23.1" customHeight="1">
      <c r="B27" s="105"/>
      <c r="C27" s="457"/>
      <c r="D27" s="458"/>
      <c r="E27" s="459"/>
      <c r="F27" s="459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95"/>
      <c r="U27" s="389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2"/>
    </row>
    <row r="28" spans="2:34" ht="23.1" customHeight="1">
      <c r="B28" s="105"/>
      <c r="C28" s="457"/>
      <c r="D28" s="458"/>
      <c r="E28" s="459"/>
      <c r="F28" s="459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95"/>
      <c r="U28" s="389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2"/>
    </row>
    <row r="29" spans="2:34" ht="23.1" customHeight="1">
      <c r="B29" s="105"/>
      <c r="C29" s="457"/>
      <c r="D29" s="458"/>
      <c r="E29" s="459"/>
      <c r="F29" s="459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95"/>
      <c r="U29" s="389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2"/>
    </row>
    <row r="30" spans="2:34" ht="23.1" customHeight="1">
      <c r="B30" s="105"/>
      <c r="C30" s="457"/>
      <c r="D30" s="458"/>
      <c r="E30" s="459"/>
      <c r="F30" s="459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95"/>
      <c r="U30" s="399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  <c r="AH30" s="401"/>
    </row>
    <row r="31" spans="2:34" ht="23.1" customHeight="1">
      <c r="B31" s="105"/>
      <c r="C31" s="457"/>
      <c r="D31" s="458"/>
      <c r="E31" s="459"/>
      <c r="F31" s="459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95"/>
      <c r="U31" s="399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401"/>
    </row>
    <row r="32" spans="2:34" ht="23.1" customHeight="1">
      <c r="B32" s="105"/>
      <c r="C32" s="457"/>
      <c r="D32" s="458"/>
      <c r="E32" s="459"/>
      <c r="F32" s="459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95"/>
      <c r="U32" s="389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1"/>
      <c r="AG32" s="391"/>
      <c r="AH32" s="392"/>
    </row>
    <row r="33" spans="2:34" ht="23.1" customHeight="1">
      <c r="B33" s="105"/>
      <c r="C33" s="457"/>
      <c r="D33" s="458"/>
      <c r="E33" s="459"/>
      <c r="F33" s="459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95"/>
      <c r="U33" s="389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2"/>
    </row>
    <row r="34" spans="2:34" ht="23.1" customHeight="1">
      <c r="B34" s="105"/>
      <c r="C34" s="457"/>
      <c r="D34" s="458"/>
      <c r="E34" s="459"/>
      <c r="F34" s="459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95"/>
      <c r="U34" s="389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2"/>
    </row>
    <row r="35" spans="2:34" ht="23.1" customHeight="1">
      <c r="B35" s="105"/>
      <c r="C35" s="457"/>
      <c r="D35" s="458"/>
      <c r="E35" s="459"/>
      <c r="F35" s="459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95"/>
      <c r="U35" s="389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2"/>
    </row>
    <row r="36" spans="2:34" ht="23.1" customHeight="1">
      <c r="B36" s="105"/>
      <c r="C36" s="457"/>
      <c r="D36" s="458"/>
      <c r="E36" s="459"/>
      <c r="F36" s="459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95"/>
      <c r="U36" s="402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4"/>
    </row>
    <row r="37" spans="2:34" ht="23.1" customHeight="1">
      <c r="B37" s="105"/>
      <c r="C37" s="457"/>
      <c r="D37" s="458"/>
      <c r="E37" s="459"/>
      <c r="F37" s="459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95"/>
      <c r="U37" s="402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4"/>
    </row>
    <row r="38" spans="2:34" ht="23.1" customHeight="1">
      <c r="B38" s="105"/>
      <c r="C38" s="457"/>
      <c r="D38" s="458"/>
      <c r="E38" s="459"/>
      <c r="F38" s="459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95"/>
      <c r="U38" s="402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4"/>
    </row>
    <row r="39" spans="2:34" ht="23.1" customHeight="1">
      <c r="B39" s="105"/>
      <c r="C39" s="457"/>
      <c r="D39" s="458"/>
      <c r="E39" s="459"/>
      <c r="F39" s="459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95"/>
      <c r="U39" s="402"/>
      <c r="V39" s="403"/>
      <c r="W39" s="403"/>
      <c r="X39" s="403"/>
      <c r="Y39" s="403"/>
      <c r="Z39" s="403"/>
      <c r="AA39" s="403"/>
      <c r="AB39" s="403"/>
      <c r="AC39" s="403"/>
      <c r="AD39" s="403"/>
      <c r="AE39" s="403"/>
      <c r="AF39" s="403"/>
      <c r="AG39" s="403"/>
      <c r="AH39" s="404"/>
    </row>
    <row r="40" spans="2:34" ht="23.1" customHeight="1">
      <c r="B40" s="105"/>
      <c r="C40" s="457"/>
      <c r="D40" s="458"/>
      <c r="E40" s="459"/>
      <c r="F40" s="459"/>
      <c r="G40" s="460"/>
      <c r="H40" s="460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95"/>
      <c r="U40" s="402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F40" s="403"/>
      <c r="AG40" s="403"/>
      <c r="AH40" s="404"/>
    </row>
    <row r="41" spans="2:34" ht="23.1" customHeight="1">
      <c r="B41" s="105"/>
      <c r="C41" s="457"/>
      <c r="D41" s="458"/>
      <c r="E41" s="459"/>
      <c r="F41" s="459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95"/>
      <c r="U41" s="402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03"/>
      <c r="AG41" s="403"/>
      <c r="AH41" s="404"/>
    </row>
    <row r="42" spans="2:34" ht="23.1" customHeight="1">
      <c r="B42" s="105"/>
      <c r="C42" s="457"/>
      <c r="D42" s="458"/>
      <c r="E42" s="459"/>
      <c r="F42" s="459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95"/>
      <c r="U42" s="402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404"/>
    </row>
    <row r="43" spans="2:34" ht="23.1" customHeight="1">
      <c r="B43" s="105"/>
      <c r="C43" s="457"/>
      <c r="D43" s="458"/>
      <c r="E43" s="459"/>
      <c r="F43" s="459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95"/>
      <c r="U43" s="402"/>
      <c r="V43" s="403"/>
      <c r="W43" s="403"/>
      <c r="X43" s="403"/>
      <c r="Y43" s="403"/>
      <c r="Z43" s="403"/>
      <c r="AA43" s="403"/>
      <c r="AB43" s="403"/>
      <c r="AC43" s="403"/>
      <c r="AD43" s="403"/>
      <c r="AE43" s="403"/>
      <c r="AF43" s="403"/>
      <c r="AG43" s="403"/>
      <c r="AH43" s="404"/>
    </row>
    <row r="44" spans="2:34" ht="23.1" customHeight="1">
      <c r="B44" s="105"/>
      <c r="C44" s="457"/>
      <c r="D44" s="458"/>
      <c r="E44" s="459"/>
      <c r="F44" s="459"/>
      <c r="G44" s="460"/>
      <c r="H44" s="460"/>
      <c r="I44" s="460"/>
      <c r="J44" s="460"/>
      <c r="K44" s="460"/>
      <c r="L44" s="460"/>
      <c r="M44" s="460"/>
      <c r="N44" s="460"/>
      <c r="O44" s="460"/>
      <c r="P44" s="460"/>
      <c r="Q44" s="460"/>
      <c r="R44" s="460"/>
      <c r="S44" s="95"/>
      <c r="U44" s="402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4"/>
    </row>
    <row r="45" spans="2:34" ht="23.1" customHeight="1">
      <c r="B45" s="105"/>
      <c r="C45" s="457"/>
      <c r="D45" s="458"/>
      <c r="E45" s="459"/>
      <c r="F45" s="459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  <c r="S45" s="95"/>
      <c r="U45" s="402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4"/>
    </row>
    <row r="46" spans="2:34" s="96" customFormat="1" ht="23.1" customHeight="1" thickBot="1">
      <c r="B46" s="105"/>
      <c r="C46" s="1174" t="s">
        <v>388</v>
      </c>
      <c r="D46" s="1175"/>
      <c r="E46" s="112">
        <f>MIN(E16:E45)</f>
        <v>2019</v>
      </c>
      <c r="F46" s="112">
        <f>MAX(F16:F45)</f>
        <v>2019</v>
      </c>
      <c r="G46" s="113">
        <f t="shared" ref="G46:R46" si="0">SUM(G16:G45)</f>
        <v>193400</v>
      </c>
      <c r="H46" s="113">
        <f t="shared" si="0"/>
        <v>0</v>
      </c>
      <c r="I46" s="113">
        <f t="shared" si="0"/>
        <v>193400</v>
      </c>
      <c r="J46" s="113">
        <f t="shared" si="0"/>
        <v>0</v>
      </c>
      <c r="K46" s="113">
        <f t="shared" si="0"/>
        <v>0</v>
      </c>
      <c r="L46" s="113">
        <f t="shared" si="0"/>
        <v>0</v>
      </c>
      <c r="M46" s="113">
        <f t="shared" si="0"/>
        <v>0</v>
      </c>
      <c r="N46" s="113">
        <f t="shared" si="0"/>
        <v>0</v>
      </c>
      <c r="O46" s="113">
        <f t="shared" si="0"/>
        <v>0</v>
      </c>
      <c r="P46" s="113">
        <f t="shared" si="0"/>
        <v>0</v>
      </c>
      <c r="Q46" s="113">
        <f t="shared" si="0"/>
        <v>0</v>
      </c>
      <c r="R46" s="113">
        <f t="shared" si="0"/>
        <v>0</v>
      </c>
      <c r="S46" s="114"/>
      <c r="U46" s="402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4"/>
    </row>
    <row r="47" spans="2:34" s="96" customFormat="1" ht="23.1" customHeight="1">
      <c r="B47" s="105"/>
      <c r="C47" s="692"/>
      <c r="D47" s="692"/>
      <c r="E47" s="693"/>
      <c r="F47" s="69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114"/>
      <c r="U47" s="402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4"/>
    </row>
    <row r="48" spans="2:34" s="96" customFormat="1" ht="23.1" customHeight="1">
      <c r="B48" s="105"/>
      <c r="C48" s="607" t="s">
        <v>741</v>
      </c>
      <c r="D48" s="692"/>
      <c r="E48" s="693"/>
      <c r="F48" s="69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114"/>
      <c r="U48" s="402"/>
      <c r="V48" s="403"/>
      <c r="W48" s="403"/>
      <c r="X48" s="403"/>
      <c r="Y48" s="403"/>
      <c r="Z48" s="403"/>
      <c r="AA48" s="403"/>
      <c r="AB48" s="403"/>
      <c r="AC48" s="403"/>
      <c r="AD48" s="403"/>
      <c r="AE48" s="403"/>
      <c r="AF48" s="403"/>
      <c r="AG48" s="403"/>
      <c r="AH48" s="404"/>
    </row>
    <row r="49" spans="2:34" s="96" customFormat="1" ht="23.1" customHeight="1">
      <c r="B49" s="105"/>
      <c r="C49" s="694" t="s">
        <v>742</v>
      </c>
      <c r="D49" s="692"/>
      <c r="E49" s="693"/>
      <c r="F49" s="695">
        <f>ejercicio-1</f>
        <v>2018</v>
      </c>
      <c r="G49" s="696" t="s">
        <v>743</v>
      </c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114"/>
      <c r="U49" s="402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4"/>
    </row>
    <row r="50" spans="2:34" s="96" customFormat="1" ht="23.1" customHeight="1">
      <c r="B50" s="105"/>
      <c r="C50" s="697" t="s">
        <v>744</v>
      </c>
      <c r="D50" s="692"/>
      <c r="E50" s="693"/>
      <c r="F50" s="69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114"/>
      <c r="U50" s="402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4"/>
    </row>
    <row r="51" spans="2:34" s="96" customFormat="1" ht="23.1" customHeight="1">
      <c r="B51" s="105"/>
      <c r="C51" s="694" t="s">
        <v>747</v>
      </c>
      <c r="D51" s="692"/>
      <c r="E51" s="693"/>
      <c r="F51" s="693"/>
      <c r="G51" s="695">
        <f>ejercicio-1</f>
        <v>2018</v>
      </c>
      <c r="H51" s="696" t="s">
        <v>748</v>
      </c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114"/>
      <c r="U51" s="402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4"/>
    </row>
    <row r="52" spans="2:34" s="96" customFormat="1" ht="23.1" customHeight="1">
      <c r="B52" s="105"/>
      <c r="C52" s="694" t="s">
        <v>749</v>
      </c>
      <c r="D52" s="692"/>
      <c r="E52" s="693"/>
      <c r="F52" s="69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114"/>
      <c r="U52" s="402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3"/>
      <c r="AH52" s="404"/>
    </row>
    <row r="53" spans="2:34" s="96" customFormat="1" ht="23.1" customHeight="1">
      <c r="B53" s="105"/>
      <c r="C53" s="694" t="s">
        <v>753</v>
      </c>
      <c r="D53" s="692"/>
      <c r="E53" s="693"/>
      <c r="F53" s="693"/>
      <c r="G53" s="695">
        <f>ejercicio-1</f>
        <v>2018</v>
      </c>
      <c r="H53" s="696" t="s">
        <v>752</v>
      </c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114"/>
      <c r="U53" s="402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4"/>
    </row>
    <row r="54" spans="2:34" s="96" customFormat="1" ht="23.1" customHeight="1">
      <c r="B54" s="105"/>
      <c r="C54" s="692"/>
      <c r="D54" s="692"/>
      <c r="E54" s="693"/>
      <c r="F54" s="69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114"/>
      <c r="U54" s="402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4"/>
    </row>
    <row r="55" spans="2:34" ht="23.1" customHeight="1" thickBot="1">
      <c r="B55" s="108"/>
      <c r="C55" s="1116"/>
      <c r="D55" s="1116"/>
      <c r="E55" s="1116"/>
      <c r="F55" s="1116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109"/>
      <c r="S55" s="110"/>
      <c r="U55" s="405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7"/>
    </row>
    <row r="56" spans="2:34" ht="23.1" customHeight="1">
      <c r="T56" s="88" t="s">
        <v>951</v>
      </c>
    </row>
    <row r="57" spans="2:34" ht="12.75">
      <c r="C57" s="111" t="s">
        <v>72</v>
      </c>
      <c r="R57" s="86" t="s">
        <v>46</v>
      </c>
    </row>
    <row r="58" spans="2:34" ht="12.75">
      <c r="C58" s="111" t="s">
        <v>73</v>
      </c>
    </row>
    <row r="59" spans="2:34" ht="12.75">
      <c r="C59" s="111" t="s">
        <v>74</v>
      </c>
    </row>
    <row r="60" spans="2:34" ht="12.75">
      <c r="C60" s="111" t="s">
        <v>75</v>
      </c>
    </row>
    <row r="61" spans="2:34" ht="12.75">
      <c r="C61" s="111" t="s">
        <v>76</v>
      </c>
    </row>
  </sheetData>
  <sheetProtection password="C494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D52"/>
  <sheetViews>
    <sheetView topLeftCell="A13" zoomScale="94" zoomScaleNormal="125" zoomScalePageLayoutView="125" workbookViewId="0">
      <selection activeCell="I29" sqref="I29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23.33203125" style="88" customWidth="1"/>
    <col min="5" max="13" width="13.44140625" style="89" customWidth="1"/>
    <col min="14" max="14" width="40.6640625" style="89" customWidth="1"/>
    <col min="15" max="15" width="3.33203125" style="88" customWidth="1"/>
    <col min="16" max="16384" width="10.6640625" style="88"/>
  </cols>
  <sheetData>
    <row r="2" spans="1:30" ht="23.1" customHeight="1">
      <c r="D2" s="56" t="s">
        <v>374</v>
      </c>
    </row>
    <row r="3" spans="1:30" ht="23.1" customHeight="1">
      <c r="D3" s="56" t="s">
        <v>375</v>
      </c>
    </row>
    <row r="4" spans="1:30" ht="23.1" customHeight="1" thickBot="1">
      <c r="A4" s="88" t="s">
        <v>950</v>
      </c>
    </row>
    <row r="5" spans="1:30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Q5" s="386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8"/>
    </row>
    <row r="6" spans="1:30" ht="30" customHeight="1">
      <c r="B6" s="94"/>
      <c r="C6" s="59" t="s">
        <v>0</v>
      </c>
      <c r="N6" s="1110">
        <f>ejercicio</f>
        <v>2019</v>
      </c>
      <c r="O6" s="95"/>
      <c r="Q6" s="389"/>
      <c r="R6" s="390" t="s">
        <v>689</v>
      </c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2"/>
    </row>
    <row r="7" spans="1:30" ht="30" customHeight="1">
      <c r="B7" s="94"/>
      <c r="C7" s="59" t="s">
        <v>1</v>
      </c>
      <c r="N7" s="1110"/>
      <c r="O7" s="95"/>
      <c r="Q7" s="389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2"/>
    </row>
    <row r="8" spans="1:30" ht="30" customHeight="1">
      <c r="B8" s="94"/>
      <c r="C8" s="96"/>
      <c r="N8" s="97"/>
      <c r="O8" s="95"/>
      <c r="Q8" s="389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2"/>
    </row>
    <row r="9" spans="1:30" s="58" customFormat="1" ht="30" customHeight="1">
      <c r="B9" s="98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99"/>
      <c r="Q9" s="393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5"/>
    </row>
    <row r="10" spans="1:30" ht="7.35" customHeight="1">
      <c r="B10" s="94"/>
      <c r="O10" s="95"/>
      <c r="Q10" s="389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2"/>
    </row>
    <row r="11" spans="1:30" s="104" customFormat="1" ht="30" customHeight="1">
      <c r="B11" s="100"/>
      <c r="C11" s="101" t="s">
        <v>413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Q11" s="396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8"/>
    </row>
    <row r="12" spans="1:30" s="104" customFormat="1" ht="30" customHeight="1">
      <c r="B12" s="100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3"/>
      <c r="Q12" s="396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8"/>
    </row>
    <row r="13" spans="1:30" s="107" customFormat="1" ht="23.1" customHeight="1">
      <c r="B13" s="105"/>
      <c r="C13" s="1176"/>
      <c r="D13" s="1177"/>
      <c r="E13" s="183" t="s">
        <v>410</v>
      </c>
      <c r="F13" s="1180" t="s">
        <v>400</v>
      </c>
      <c r="G13" s="1181"/>
      <c r="H13" s="1181"/>
      <c r="I13" s="1181"/>
      <c r="J13" s="1181"/>
      <c r="K13" s="1181"/>
      <c r="L13" s="1182"/>
      <c r="M13" s="183" t="s">
        <v>411</v>
      </c>
      <c r="N13" s="1178" t="s">
        <v>412</v>
      </c>
      <c r="O13" s="106"/>
      <c r="Q13" s="389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2"/>
    </row>
    <row r="14" spans="1:30" ht="49.35" customHeight="1">
      <c r="B14" s="94"/>
      <c r="C14" s="192" t="s">
        <v>407</v>
      </c>
      <c r="D14" s="190">
        <f>ejercicio-1</f>
        <v>2018</v>
      </c>
      <c r="E14" s="191">
        <f>ejercicio-1</f>
        <v>2018</v>
      </c>
      <c r="F14" s="187" t="s">
        <v>402</v>
      </c>
      <c r="G14" s="188" t="s">
        <v>401</v>
      </c>
      <c r="H14" s="188" t="s">
        <v>403</v>
      </c>
      <c r="I14" s="188" t="s">
        <v>404</v>
      </c>
      <c r="J14" s="188" t="s">
        <v>405</v>
      </c>
      <c r="K14" s="188" t="s">
        <v>406</v>
      </c>
      <c r="L14" s="189" t="s">
        <v>391</v>
      </c>
      <c r="M14" s="191">
        <f>ejercicio-1</f>
        <v>2018</v>
      </c>
      <c r="N14" s="1179"/>
      <c r="O14" s="95"/>
      <c r="Q14" s="389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2"/>
    </row>
    <row r="15" spans="1:30" s="29" customFormat="1" ht="23.1" customHeight="1">
      <c r="B15" s="105"/>
      <c r="C15" s="142" t="s">
        <v>393</v>
      </c>
      <c r="D15" s="143"/>
      <c r="E15" s="461">
        <v>1000</v>
      </c>
      <c r="F15" s="462"/>
      <c r="G15" s="463"/>
      <c r="H15" s="463"/>
      <c r="I15" s="463"/>
      <c r="J15" s="463"/>
      <c r="K15" s="463"/>
      <c r="L15" s="464"/>
      <c r="M15" s="158">
        <f>SUM(E15:L15)</f>
        <v>1000</v>
      </c>
      <c r="N15" s="492"/>
      <c r="O15" s="106"/>
      <c r="Q15" s="389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2"/>
    </row>
    <row r="16" spans="1:30" ht="23.1" customHeight="1">
      <c r="B16" s="105"/>
      <c r="C16" s="144" t="s">
        <v>396</v>
      </c>
      <c r="D16" s="145"/>
      <c r="E16" s="465"/>
      <c r="F16" s="466"/>
      <c r="G16" s="467"/>
      <c r="H16" s="467"/>
      <c r="I16" s="467"/>
      <c r="J16" s="467"/>
      <c r="K16" s="467"/>
      <c r="L16" s="468"/>
      <c r="M16" s="162">
        <f t="shared" ref="M16:M19" si="0">SUM(E16:L16)</f>
        <v>0</v>
      </c>
      <c r="N16" s="479"/>
      <c r="O16" s="95"/>
      <c r="Q16" s="389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2"/>
    </row>
    <row r="17" spans="2:30" ht="23.1" customHeight="1">
      <c r="B17" s="105"/>
      <c r="C17" s="144" t="s">
        <v>394</v>
      </c>
      <c r="D17" s="145"/>
      <c r="E17" s="465">
        <v>1069549.3899999999</v>
      </c>
      <c r="F17" s="466">
        <f>1233596.31-1045248.23-197.85</f>
        <v>188150.23000000007</v>
      </c>
      <c r="G17" s="467"/>
      <c r="H17" s="467"/>
      <c r="I17" s="467">
        <v>-24103.31</v>
      </c>
      <c r="J17" s="467"/>
      <c r="K17" s="467"/>
      <c r="L17" s="468"/>
      <c r="M17" s="162">
        <f t="shared" si="0"/>
        <v>1233596.3099999998</v>
      </c>
      <c r="N17" s="479"/>
      <c r="O17" s="95"/>
      <c r="Q17" s="389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2"/>
    </row>
    <row r="18" spans="2:30" ht="23.1" customHeight="1">
      <c r="B18" s="105"/>
      <c r="C18" s="144" t="s">
        <v>397</v>
      </c>
      <c r="D18" s="145"/>
      <c r="E18" s="465"/>
      <c r="F18" s="466"/>
      <c r="G18" s="467"/>
      <c r="H18" s="467"/>
      <c r="I18" s="467"/>
      <c r="J18" s="467"/>
      <c r="K18" s="467"/>
      <c r="L18" s="468"/>
      <c r="M18" s="162">
        <f t="shared" si="0"/>
        <v>0</v>
      </c>
      <c r="N18" s="479"/>
      <c r="O18" s="95"/>
      <c r="Q18" s="389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2"/>
    </row>
    <row r="19" spans="2:30" ht="23.1" customHeight="1">
      <c r="B19" s="105"/>
      <c r="C19" s="146" t="s">
        <v>395</v>
      </c>
      <c r="D19" s="147"/>
      <c r="E19" s="469"/>
      <c r="F19" s="470"/>
      <c r="G19" s="471"/>
      <c r="H19" s="471"/>
      <c r="I19" s="471"/>
      <c r="J19" s="471"/>
      <c r="K19" s="471"/>
      <c r="L19" s="472"/>
      <c r="M19" s="163">
        <f t="shared" si="0"/>
        <v>0</v>
      </c>
      <c r="N19" s="518"/>
      <c r="O19" s="95"/>
      <c r="Q19" s="389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2"/>
    </row>
    <row r="20" spans="2:30" ht="23.1" customHeight="1" thickBot="1">
      <c r="B20" s="105"/>
      <c r="C20" s="148" t="s">
        <v>398</v>
      </c>
      <c r="D20" s="149"/>
      <c r="E20" s="161">
        <f>SUM(E15:E19)</f>
        <v>1070549.3899999999</v>
      </c>
      <c r="F20" s="161">
        <f t="shared" ref="F20:M20" si="1">SUM(F15:F19)</f>
        <v>188150.23000000007</v>
      </c>
      <c r="G20" s="161">
        <f t="shared" si="1"/>
        <v>0</v>
      </c>
      <c r="H20" s="161">
        <f t="shared" si="1"/>
        <v>0</v>
      </c>
      <c r="I20" s="161">
        <f t="shared" si="1"/>
        <v>-24103.31</v>
      </c>
      <c r="J20" s="161">
        <f t="shared" si="1"/>
        <v>0</v>
      </c>
      <c r="K20" s="161">
        <f t="shared" si="1"/>
        <v>0</v>
      </c>
      <c r="L20" s="161">
        <f t="shared" si="1"/>
        <v>0</v>
      </c>
      <c r="M20" s="161">
        <f t="shared" si="1"/>
        <v>1234596.3099999998</v>
      </c>
      <c r="N20" s="150"/>
      <c r="O20" s="95"/>
      <c r="Q20" s="389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2"/>
    </row>
    <row r="21" spans="2:30" ht="8.1" customHeight="1">
      <c r="B21" s="105"/>
      <c r="C21" s="138"/>
      <c r="D21" s="138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95"/>
      <c r="Q21" s="389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2"/>
    </row>
    <row r="22" spans="2:30" ht="23.1" customHeight="1" thickBot="1">
      <c r="B22" s="105"/>
      <c r="C22" s="152" t="s">
        <v>399</v>
      </c>
      <c r="D22" s="153"/>
      <c r="E22" s="534">
        <v>219.72</v>
      </c>
      <c r="F22" s="535"/>
      <c r="G22" s="536"/>
      <c r="H22" s="536"/>
      <c r="I22" s="536"/>
      <c r="J22" s="536"/>
      <c r="K22" s="536"/>
      <c r="L22" s="537">
        <v>-77.87</v>
      </c>
      <c r="M22" s="161">
        <f>SUM(E22:L22)</f>
        <v>141.85</v>
      </c>
      <c r="N22" s="1099" t="s">
        <v>1049</v>
      </c>
      <c r="O22" s="95"/>
      <c r="Q22" s="389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2"/>
    </row>
    <row r="23" spans="2:30" ht="23.1" customHeight="1">
      <c r="B23" s="105"/>
      <c r="C23" s="104"/>
      <c r="D23" s="104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95"/>
      <c r="Q23" s="389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2"/>
    </row>
    <row r="24" spans="2:30" ht="23.1" customHeight="1">
      <c r="B24" s="105"/>
      <c r="C24" s="1176"/>
      <c r="D24" s="1177"/>
      <c r="E24" s="183" t="s">
        <v>410</v>
      </c>
      <c r="F24" s="1180" t="s">
        <v>400</v>
      </c>
      <c r="G24" s="1181"/>
      <c r="H24" s="1181"/>
      <c r="I24" s="1181"/>
      <c r="J24" s="1181"/>
      <c r="K24" s="1181"/>
      <c r="L24" s="1182"/>
      <c r="M24" s="183" t="s">
        <v>411</v>
      </c>
      <c r="N24" s="1178" t="s">
        <v>412</v>
      </c>
      <c r="O24" s="95"/>
      <c r="Q24" s="389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2"/>
    </row>
    <row r="25" spans="2:30" ht="49.35" customHeight="1">
      <c r="B25" s="105"/>
      <c r="C25" s="192" t="s">
        <v>408</v>
      </c>
      <c r="D25" s="190">
        <f>ejercicio</f>
        <v>2019</v>
      </c>
      <c r="E25" s="191">
        <f>ejercicio</f>
        <v>2019</v>
      </c>
      <c r="F25" s="187" t="s">
        <v>402</v>
      </c>
      <c r="G25" s="188" t="s">
        <v>401</v>
      </c>
      <c r="H25" s="188" t="s">
        <v>403</v>
      </c>
      <c r="I25" s="188" t="s">
        <v>404</v>
      </c>
      <c r="J25" s="188" t="s">
        <v>405</v>
      </c>
      <c r="K25" s="188" t="s">
        <v>406</v>
      </c>
      <c r="L25" s="189" t="s">
        <v>391</v>
      </c>
      <c r="M25" s="191">
        <f>ejercicio</f>
        <v>2019</v>
      </c>
      <c r="N25" s="1179"/>
      <c r="O25" s="95"/>
      <c r="Q25" s="389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2"/>
    </row>
    <row r="26" spans="2:30" ht="23.1" customHeight="1">
      <c r="B26" s="105"/>
      <c r="C26" s="142" t="s">
        <v>393</v>
      </c>
      <c r="D26" s="143"/>
      <c r="E26" s="158">
        <f>+M15</f>
        <v>1000</v>
      </c>
      <c r="F26" s="462"/>
      <c r="G26" s="463"/>
      <c r="H26" s="463"/>
      <c r="I26" s="463"/>
      <c r="J26" s="463"/>
      <c r="K26" s="463"/>
      <c r="L26" s="464"/>
      <c r="M26" s="158">
        <f>SUM(E26:L26)</f>
        <v>1000</v>
      </c>
      <c r="N26" s="492"/>
      <c r="O26" s="95"/>
      <c r="Q26" s="389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2"/>
    </row>
    <row r="27" spans="2:30" ht="23.1" customHeight="1">
      <c r="B27" s="105"/>
      <c r="C27" s="144" t="s">
        <v>396</v>
      </c>
      <c r="D27" s="145"/>
      <c r="E27" s="162">
        <f>+M16</f>
        <v>0</v>
      </c>
      <c r="F27" s="466"/>
      <c r="G27" s="467"/>
      <c r="H27" s="467"/>
      <c r="I27" s="467"/>
      <c r="J27" s="467"/>
      <c r="K27" s="467"/>
      <c r="L27" s="468"/>
      <c r="M27" s="162">
        <f t="shared" ref="M27:M30" si="2">SUM(E27:L27)</f>
        <v>0</v>
      </c>
      <c r="N27" s="479"/>
      <c r="O27" s="95"/>
      <c r="Q27" s="389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2"/>
    </row>
    <row r="28" spans="2:30" ht="23.1" customHeight="1">
      <c r="B28" s="105"/>
      <c r="C28" s="144" t="s">
        <v>394</v>
      </c>
      <c r="D28" s="145"/>
      <c r="E28" s="162">
        <f>+M17</f>
        <v>1233596.3099999998</v>
      </c>
      <c r="F28" s="466">
        <f>83400+50000+60000</f>
        <v>193400</v>
      </c>
      <c r="G28" s="467"/>
      <c r="H28" s="467"/>
      <c r="I28" s="467">
        <v>-32000</v>
      </c>
      <c r="J28" s="467"/>
      <c r="K28" s="467"/>
      <c r="L28" s="468"/>
      <c r="M28" s="162">
        <f t="shared" si="2"/>
        <v>1394996.3099999998</v>
      </c>
      <c r="N28" s="1075"/>
      <c r="O28" s="95"/>
      <c r="Q28" s="389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2"/>
    </row>
    <row r="29" spans="2:30" ht="23.1" customHeight="1">
      <c r="B29" s="105"/>
      <c r="C29" s="144" t="s">
        <v>397</v>
      </c>
      <c r="D29" s="145"/>
      <c r="E29" s="162">
        <f>+M18</f>
        <v>0</v>
      </c>
      <c r="F29" s="466"/>
      <c r="G29" s="467"/>
      <c r="H29" s="467"/>
      <c r="I29" s="467"/>
      <c r="J29" s="467"/>
      <c r="K29" s="467"/>
      <c r="L29" s="468"/>
      <c r="M29" s="162">
        <f t="shared" si="2"/>
        <v>0</v>
      </c>
      <c r="N29" s="479"/>
      <c r="O29" s="95"/>
      <c r="Q29" s="389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2"/>
    </row>
    <row r="30" spans="2:30" ht="23.1" customHeight="1">
      <c r="B30" s="105"/>
      <c r="C30" s="146" t="s">
        <v>395</v>
      </c>
      <c r="D30" s="147"/>
      <c r="E30" s="163">
        <f>+M19</f>
        <v>0</v>
      </c>
      <c r="F30" s="470"/>
      <c r="G30" s="471"/>
      <c r="H30" s="471"/>
      <c r="I30" s="471"/>
      <c r="J30" s="471"/>
      <c r="K30" s="471"/>
      <c r="L30" s="472"/>
      <c r="M30" s="163">
        <f t="shared" si="2"/>
        <v>0</v>
      </c>
      <c r="N30" s="518"/>
      <c r="O30" s="95"/>
      <c r="Q30" s="399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1"/>
    </row>
    <row r="31" spans="2:30" ht="23.1" customHeight="1" thickBot="1">
      <c r="B31" s="105"/>
      <c r="C31" s="148" t="s">
        <v>398</v>
      </c>
      <c r="D31" s="149"/>
      <c r="E31" s="161">
        <f>SUM(E26:E30)</f>
        <v>1234596.3099999998</v>
      </c>
      <c r="F31" s="161">
        <f t="shared" ref="F31" si="3">SUM(F26:F30)</f>
        <v>193400</v>
      </c>
      <c r="G31" s="161">
        <f t="shared" ref="G31" si="4">SUM(G26:G30)</f>
        <v>0</v>
      </c>
      <c r="H31" s="161">
        <f t="shared" ref="H31" si="5">SUM(H26:H30)</f>
        <v>0</v>
      </c>
      <c r="I31" s="161">
        <f t="shared" ref="I31" si="6">SUM(I26:I30)</f>
        <v>-32000</v>
      </c>
      <c r="J31" s="161">
        <f t="shared" ref="J31" si="7">SUM(J26:J30)</f>
        <v>0</v>
      </c>
      <c r="K31" s="161">
        <f t="shared" ref="K31" si="8">SUM(K26:K30)</f>
        <v>0</v>
      </c>
      <c r="L31" s="161">
        <f t="shared" ref="L31" si="9">SUM(L26:L30)</f>
        <v>0</v>
      </c>
      <c r="M31" s="161">
        <f>SUM(M26:M30)</f>
        <v>1395996.3099999998</v>
      </c>
      <c r="N31" s="150"/>
      <c r="O31" s="95"/>
      <c r="Q31" s="399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1"/>
    </row>
    <row r="32" spans="2:30" ht="9" customHeight="1">
      <c r="B32" s="105"/>
      <c r="C32" s="138"/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95"/>
      <c r="Q32" s="389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2"/>
    </row>
    <row r="33" spans="2:30" ht="23.1" customHeight="1" thickBot="1">
      <c r="B33" s="105"/>
      <c r="C33" s="152" t="s">
        <v>399</v>
      </c>
      <c r="D33" s="153"/>
      <c r="E33" s="161">
        <f>+M22</f>
        <v>141.85</v>
      </c>
      <c r="F33" s="535"/>
      <c r="G33" s="536"/>
      <c r="H33" s="536"/>
      <c r="I33" s="536"/>
      <c r="J33" s="536"/>
      <c r="K33" s="536"/>
      <c r="L33" s="537"/>
      <c r="M33" s="161">
        <f>SUM(E33:L33)</f>
        <v>141.85</v>
      </c>
      <c r="N33" s="731"/>
      <c r="O33" s="95"/>
      <c r="Q33" s="389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2"/>
    </row>
    <row r="34" spans="2:30" ht="23.1" customHeight="1">
      <c r="B34" s="105"/>
      <c r="C34" s="104"/>
      <c r="D34" s="104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95"/>
      <c r="Q34" s="389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2"/>
    </row>
    <row r="35" spans="2:30" ht="23.1" customHeight="1">
      <c r="B35" s="105"/>
      <c r="C35" s="157" t="s">
        <v>409</v>
      </c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87"/>
      <c r="O35" s="95"/>
      <c r="Q35" s="389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2"/>
    </row>
    <row r="36" spans="2:30" ht="18">
      <c r="B36" s="105"/>
      <c r="C36" s="155" t="s">
        <v>760</v>
      </c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87"/>
      <c r="O36" s="95"/>
      <c r="Q36" s="402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4"/>
    </row>
    <row r="37" spans="2:30" ht="18">
      <c r="B37" s="105"/>
      <c r="C37" s="155" t="s">
        <v>761</v>
      </c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87"/>
      <c r="O37" s="95"/>
      <c r="Q37" s="402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4"/>
    </row>
    <row r="38" spans="2:30" ht="18">
      <c r="B38" s="105"/>
      <c r="C38" s="155" t="s">
        <v>762</v>
      </c>
      <c r="D38" s="155"/>
      <c r="E38" s="156"/>
      <c r="F38" s="156"/>
      <c r="G38" s="156"/>
      <c r="H38" s="156"/>
      <c r="I38" s="156"/>
      <c r="J38" s="156"/>
      <c r="K38" s="156"/>
      <c r="L38" s="156"/>
      <c r="M38" s="156"/>
      <c r="N38" s="87"/>
      <c r="O38" s="95"/>
      <c r="Q38" s="402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4"/>
    </row>
    <row r="39" spans="2:30" ht="18">
      <c r="B39" s="105"/>
      <c r="C39" s="155" t="s">
        <v>763</v>
      </c>
      <c r="D39" s="155"/>
      <c r="E39" s="156"/>
      <c r="F39" s="156"/>
      <c r="G39" s="156"/>
      <c r="H39" s="156"/>
      <c r="I39" s="156"/>
      <c r="J39" s="156"/>
      <c r="K39" s="156"/>
      <c r="L39" s="156"/>
      <c r="M39" s="156"/>
      <c r="N39" s="87"/>
      <c r="O39" s="95"/>
      <c r="Q39" s="402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4"/>
    </row>
    <row r="40" spans="2:30" ht="18">
      <c r="B40" s="105"/>
      <c r="C40" s="155" t="s">
        <v>769</v>
      </c>
      <c r="D40" s="155"/>
      <c r="E40" s="156"/>
      <c r="F40" s="156"/>
      <c r="G40" s="156"/>
      <c r="H40" s="156"/>
      <c r="I40" s="156"/>
      <c r="J40" s="156"/>
      <c r="K40" s="156"/>
      <c r="L40" s="156"/>
      <c r="M40" s="156"/>
      <c r="N40" s="87"/>
      <c r="O40" s="95"/>
      <c r="Q40" s="402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4"/>
    </row>
    <row r="41" spans="2:30" ht="18">
      <c r="B41" s="105"/>
      <c r="C41" s="155" t="s">
        <v>764</v>
      </c>
      <c r="D41" s="155"/>
      <c r="E41" s="156"/>
      <c r="F41" s="156"/>
      <c r="G41" s="156"/>
      <c r="H41" s="156"/>
      <c r="I41" s="156"/>
      <c r="J41" s="156"/>
      <c r="K41" s="156"/>
      <c r="L41" s="156"/>
      <c r="M41" s="156"/>
      <c r="N41" s="87"/>
      <c r="O41" s="95"/>
      <c r="Q41" s="402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4"/>
    </row>
    <row r="42" spans="2:30" ht="18">
      <c r="B42" s="105"/>
      <c r="C42" s="155" t="s">
        <v>765</v>
      </c>
      <c r="D42" s="155"/>
      <c r="E42" s="156"/>
      <c r="F42" s="156"/>
      <c r="G42" s="156"/>
      <c r="H42" s="156"/>
      <c r="I42" s="156"/>
      <c r="J42" s="156"/>
      <c r="K42" s="156"/>
      <c r="L42" s="156"/>
      <c r="M42" s="156"/>
      <c r="N42" s="87"/>
      <c r="O42" s="95"/>
      <c r="Q42" s="402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4"/>
    </row>
    <row r="43" spans="2:30" ht="18">
      <c r="B43" s="105"/>
      <c r="C43" s="155" t="s">
        <v>766</v>
      </c>
      <c r="D43" s="155"/>
      <c r="E43" s="156"/>
      <c r="F43" s="156"/>
      <c r="G43" s="156"/>
      <c r="H43" s="156"/>
      <c r="I43" s="156"/>
      <c r="J43" s="156"/>
      <c r="K43" s="156"/>
      <c r="L43" s="156"/>
      <c r="M43" s="156"/>
      <c r="N43" s="87"/>
      <c r="O43" s="95"/>
      <c r="Q43" s="402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4"/>
    </row>
    <row r="44" spans="2:30" ht="18">
      <c r="B44" s="105"/>
      <c r="C44" s="155" t="s">
        <v>767</v>
      </c>
      <c r="D44" s="155"/>
      <c r="E44" s="156"/>
      <c r="F44" s="156"/>
      <c r="G44" s="156"/>
      <c r="H44" s="156"/>
      <c r="I44" s="156"/>
      <c r="J44" s="156"/>
      <c r="K44" s="156"/>
      <c r="L44" s="156"/>
      <c r="M44" s="156"/>
      <c r="N44" s="87"/>
      <c r="O44" s="95"/>
      <c r="Q44" s="402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4"/>
    </row>
    <row r="45" spans="2:30" ht="18">
      <c r="B45" s="105"/>
      <c r="C45" s="155" t="s">
        <v>768</v>
      </c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87"/>
      <c r="O45" s="95"/>
      <c r="Q45" s="402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4"/>
    </row>
    <row r="46" spans="2:30" ht="23.1" customHeight="1" thickBot="1">
      <c r="B46" s="108"/>
      <c r="C46" s="1116"/>
      <c r="D46" s="1116"/>
      <c r="E46" s="1116"/>
      <c r="F46" s="1116"/>
      <c r="G46" s="48"/>
      <c r="H46" s="48"/>
      <c r="I46" s="48"/>
      <c r="J46" s="48"/>
      <c r="K46" s="48"/>
      <c r="L46" s="48"/>
      <c r="M46" s="48"/>
      <c r="N46" s="109"/>
      <c r="O46" s="110"/>
      <c r="Q46" s="405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7"/>
    </row>
    <row r="47" spans="2:30" ht="23.1" customHeight="1">
      <c r="P47" s="88" t="s">
        <v>951</v>
      </c>
    </row>
    <row r="48" spans="2:30" ht="12.75">
      <c r="C48" s="111" t="s">
        <v>72</v>
      </c>
      <c r="N48" s="86" t="s">
        <v>50</v>
      </c>
    </row>
    <row r="49" spans="3:3" ht="12.75">
      <c r="C49" s="111" t="s">
        <v>73</v>
      </c>
    </row>
    <row r="50" spans="3:3" ht="12.75">
      <c r="C50" s="111" t="s">
        <v>74</v>
      </c>
    </row>
    <row r="51" spans="3:3" ht="12.75">
      <c r="C51" s="111" t="s">
        <v>75</v>
      </c>
    </row>
    <row r="52" spans="3:3" ht="12.75">
      <c r="C52" s="111" t="s">
        <v>76</v>
      </c>
    </row>
  </sheetData>
  <sheetProtection password="C494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C77"/>
  <sheetViews>
    <sheetView topLeftCell="A21" zoomScale="81" zoomScaleNormal="125" zoomScalePageLayoutView="125" workbookViewId="0">
      <selection activeCell="C43" sqref="C43:F45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23.33203125" style="88" customWidth="1"/>
    <col min="5" max="12" width="13.44140625" style="89" customWidth="1"/>
    <col min="13" max="13" width="25.6640625" style="89" customWidth="1"/>
    <col min="14" max="14" width="3.33203125" style="88" customWidth="1"/>
    <col min="15" max="16384" width="10.6640625" style="88"/>
  </cols>
  <sheetData>
    <row r="2" spans="1:29" ht="23.1" customHeight="1">
      <c r="D2" s="56" t="s">
        <v>374</v>
      </c>
    </row>
    <row r="3" spans="1:29" ht="23.1" customHeight="1">
      <c r="D3" s="56" t="s">
        <v>375</v>
      </c>
    </row>
    <row r="4" spans="1:29" ht="23.1" customHeight="1" thickBot="1">
      <c r="A4" s="88" t="s">
        <v>950</v>
      </c>
    </row>
    <row r="5" spans="1:29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3"/>
      <c r="P5" s="386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8"/>
    </row>
    <row r="6" spans="1:29" ht="30" customHeight="1">
      <c r="B6" s="94"/>
      <c r="C6" s="59" t="s">
        <v>0</v>
      </c>
      <c r="M6" s="1110">
        <f>ejercicio</f>
        <v>2019</v>
      </c>
      <c r="N6" s="95"/>
      <c r="P6" s="389"/>
      <c r="Q6" s="390" t="s">
        <v>689</v>
      </c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2"/>
    </row>
    <row r="7" spans="1:29" ht="30" customHeight="1">
      <c r="B7" s="94"/>
      <c r="C7" s="59" t="s">
        <v>1</v>
      </c>
      <c r="M7" s="1110"/>
      <c r="N7" s="95"/>
      <c r="P7" s="389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2"/>
    </row>
    <row r="8" spans="1:29" ht="30" customHeight="1">
      <c r="B8" s="94"/>
      <c r="C8" s="96"/>
      <c r="M8" s="97"/>
      <c r="N8" s="95"/>
      <c r="P8" s="389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2"/>
    </row>
    <row r="9" spans="1:29" s="58" customFormat="1" ht="30" customHeight="1">
      <c r="B9" s="98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99"/>
      <c r="P9" s="393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5"/>
    </row>
    <row r="10" spans="1:29" ht="7.35" customHeight="1">
      <c r="B10" s="94"/>
      <c r="N10" s="95"/>
      <c r="P10" s="389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2"/>
    </row>
    <row r="11" spans="1:29" s="104" customFormat="1" ht="30" customHeight="1">
      <c r="B11" s="100"/>
      <c r="C11" s="101" t="s">
        <v>414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P11" s="396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8"/>
    </row>
    <row r="12" spans="1:29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87"/>
      <c r="K12" s="87"/>
      <c r="L12" s="87"/>
      <c r="M12" s="87"/>
      <c r="N12" s="103"/>
      <c r="P12" s="396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8"/>
    </row>
    <row r="13" spans="1:29" s="104" customFormat="1" ht="30" customHeight="1">
      <c r="B13" s="100"/>
      <c r="C13" s="55" t="s">
        <v>425</v>
      </c>
      <c r="D13" s="19"/>
      <c r="E13" s="87"/>
      <c r="F13" s="87"/>
      <c r="G13" s="87"/>
      <c r="H13" s="87"/>
      <c r="I13" s="87"/>
      <c r="J13" s="87"/>
      <c r="K13" s="87"/>
      <c r="L13" s="87"/>
      <c r="M13" s="87"/>
      <c r="N13" s="103"/>
      <c r="P13" s="389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2"/>
    </row>
    <row r="14" spans="1:29" s="104" customFormat="1" ht="30" customHeight="1">
      <c r="B14" s="100"/>
      <c r="C14" s="19"/>
      <c r="D14" s="19"/>
      <c r="E14" s="87"/>
      <c r="F14" s="87"/>
      <c r="G14" s="87"/>
      <c r="H14" s="87"/>
      <c r="I14" s="87"/>
      <c r="J14" s="87"/>
      <c r="K14" s="87"/>
      <c r="L14" s="87"/>
      <c r="M14" s="87"/>
      <c r="N14" s="103"/>
      <c r="P14" s="389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2"/>
    </row>
    <row r="15" spans="1:29" s="107" customFormat="1" ht="23.1" customHeight="1">
      <c r="B15" s="105"/>
      <c r="C15" s="181"/>
      <c r="D15" s="182"/>
      <c r="E15" s="183" t="s">
        <v>416</v>
      </c>
      <c r="F15" s="183" t="s">
        <v>392</v>
      </c>
      <c r="G15" s="1180" t="s">
        <v>400</v>
      </c>
      <c r="H15" s="1181"/>
      <c r="I15" s="1181"/>
      <c r="J15" s="183" t="s">
        <v>411</v>
      </c>
      <c r="K15" s="183" t="s">
        <v>421</v>
      </c>
      <c r="L15" s="183" t="s">
        <v>422</v>
      </c>
      <c r="M15" s="1178" t="s">
        <v>771</v>
      </c>
      <c r="N15" s="106"/>
      <c r="P15" s="389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2"/>
    </row>
    <row r="16" spans="1:29" ht="49.35" customHeight="1">
      <c r="B16" s="94"/>
      <c r="C16" s="184" t="s">
        <v>415</v>
      </c>
      <c r="D16" s="185"/>
      <c r="E16" s="186" t="s">
        <v>417</v>
      </c>
      <c r="F16" s="186">
        <f>ejercicio</f>
        <v>2019</v>
      </c>
      <c r="G16" s="187" t="s">
        <v>418</v>
      </c>
      <c r="H16" s="188" t="s">
        <v>419</v>
      </c>
      <c r="I16" s="189" t="s">
        <v>420</v>
      </c>
      <c r="J16" s="186">
        <f>ejercicio</f>
        <v>2019</v>
      </c>
      <c r="K16" s="186" t="s">
        <v>770</v>
      </c>
      <c r="L16" s="186">
        <f>ejercicio</f>
        <v>2019</v>
      </c>
      <c r="M16" s="1179"/>
      <c r="N16" s="95"/>
      <c r="P16" s="389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2"/>
    </row>
    <row r="17" spans="2:29" ht="30" customHeight="1" thickBot="1">
      <c r="B17" s="94"/>
      <c r="C17" s="1191" t="s">
        <v>423</v>
      </c>
      <c r="D17" s="1191"/>
      <c r="E17" s="1191"/>
      <c r="F17" s="1191"/>
      <c r="G17" s="1191"/>
      <c r="H17" s="1191"/>
      <c r="I17" s="1191"/>
      <c r="J17" s="1191"/>
      <c r="K17" s="1191"/>
      <c r="L17" s="1191"/>
      <c r="M17" s="1191"/>
      <c r="N17" s="95"/>
      <c r="P17" s="389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2"/>
    </row>
    <row r="18" spans="2:29" s="29" customFormat="1" ht="23.1" customHeight="1">
      <c r="B18" s="105"/>
      <c r="C18" s="1189"/>
      <c r="D18" s="1190"/>
      <c r="E18" s="740"/>
      <c r="F18" s="473"/>
      <c r="G18" s="474"/>
      <c r="H18" s="474"/>
      <c r="I18" s="474"/>
      <c r="J18" s="170">
        <f t="shared" ref="J18:J24" si="0">SUM(F18:I18)</f>
        <v>0</v>
      </c>
      <c r="K18" s="481"/>
      <c r="L18" s="482"/>
      <c r="M18" s="736"/>
      <c r="N18" s="106"/>
      <c r="P18" s="389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2"/>
    </row>
    <row r="19" spans="2:29" ht="23.1" customHeight="1">
      <c r="B19" s="105"/>
      <c r="C19" s="1183"/>
      <c r="D19" s="1184"/>
      <c r="E19" s="741"/>
      <c r="F19" s="466"/>
      <c r="G19" s="467"/>
      <c r="H19" s="467"/>
      <c r="I19" s="467"/>
      <c r="J19" s="162">
        <f t="shared" si="0"/>
        <v>0</v>
      </c>
      <c r="K19" s="483"/>
      <c r="L19" s="484"/>
      <c r="M19" s="737"/>
      <c r="N19" s="95"/>
      <c r="P19" s="389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2"/>
    </row>
    <row r="20" spans="2:29" ht="23.1" customHeight="1">
      <c r="B20" s="105"/>
      <c r="C20" s="1183"/>
      <c r="D20" s="1184"/>
      <c r="E20" s="741"/>
      <c r="F20" s="466"/>
      <c r="G20" s="467"/>
      <c r="H20" s="467"/>
      <c r="I20" s="467"/>
      <c r="J20" s="162">
        <f t="shared" si="0"/>
        <v>0</v>
      </c>
      <c r="K20" s="483"/>
      <c r="L20" s="484"/>
      <c r="M20" s="737"/>
      <c r="N20" s="95"/>
      <c r="P20" s="389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2"/>
    </row>
    <row r="21" spans="2:29" ht="23.1" customHeight="1">
      <c r="B21" s="105"/>
      <c r="C21" s="1183"/>
      <c r="D21" s="1184"/>
      <c r="E21" s="741"/>
      <c r="F21" s="466"/>
      <c r="G21" s="467"/>
      <c r="H21" s="467"/>
      <c r="I21" s="467"/>
      <c r="J21" s="162">
        <f t="shared" si="0"/>
        <v>0</v>
      </c>
      <c r="K21" s="483"/>
      <c r="L21" s="484"/>
      <c r="M21" s="737"/>
      <c r="N21" s="95"/>
      <c r="P21" s="389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2"/>
    </row>
    <row r="22" spans="2:29" ht="23.1" customHeight="1">
      <c r="B22" s="105"/>
      <c r="C22" s="1183"/>
      <c r="D22" s="1184"/>
      <c r="E22" s="742"/>
      <c r="F22" s="475"/>
      <c r="G22" s="476"/>
      <c r="H22" s="476"/>
      <c r="I22" s="476"/>
      <c r="J22" s="162">
        <f t="shared" si="0"/>
        <v>0</v>
      </c>
      <c r="K22" s="485"/>
      <c r="L22" s="486"/>
      <c r="M22" s="738"/>
      <c r="N22" s="95"/>
      <c r="P22" s="389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2"/>
    </row>
    <row r="23" spans="2:29" ht="23.1" customHeight="1">
      <c r="B23" s="105"/>
      <c r="C23" s="1183"/>
      <c r="D23" s="1184"/>
      <c r="E23" s="742"/>
      <c r="F23" s="475"/>
      <c r="G23" s="476"/>
      <c r="H23" s="476"/>
      <c r="I23" s="476"/>
      <c r="J23" s="162">
        <f t="shared" si="0"/>
        <v>0</v>
      </c>
      <c r="K23" s="485"/>
      <c r="L23" s="486"/>
      <c r="M23" s="738"/>
      <c r="N23" s="95"/>
      <c r="P23" s="389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92"/>
    </row>
    <row r="24" spans="2:29" ht="23.1" customHeight="1">
      <c r="B24" s="105"/>
      <c r="C24" s="477"/>
      <c r="D24" s="478"/>
      <c r="E24" s="743"/>
      <c r="F24" s="470"/>
      <c r="G24" s="471"/>
      <c r="H24" s="471"/>
      <c r="I24" s="471"/>
      <c r="J24" s="163">
        <f t="shared" si="0"/>
        <v>0</v>
      </c>
      <c r="K24" s="487"/>
      <c r="L24" s="488"/>
      <c r="M24" s="739"/>
      <c r="N24" s="95"/>
      <c r="P24" s="389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2"/>
    </row>
    <row r="25" spans="2:29" ht="23.1" customHeight="1" thickBot="1">
      <c r="B25" s="105"/>
      <c r="C25" s="148" t="s">
        <v>398</v>
      </c>
      <c r="D25" s="149"/>
      <c r="E25" s="161"/>
      <c r="F25" s="161">
        <f>SUM(F18:F24)</f>
        <v>0</v>
      </c>
      <c r="G25" s="161">
        <f>SUM(G18:G24)</f>
        <v>0</v>
      </c>
      <c r="H25" s="161">
        <f>SUM(H18:H24)</f>
        <v>0</v>
      </c>
      <c r="I25" s="161">
        <f>SUM(I18:I24)</f>
        <v>0</v>
      </c>
      <c r="J25" s="161">
        <f>SUM(J18:J24)</f>
        <v>0</v>
      </c>
      <c r="K25" s="166"/>
      <c r="L25" s="161">
        <f>SUM(L18:L24)</f>
        <v>0</v>
      </c>
      <c r="M25" s="150"/>
      <c r="N25" s="95"/>
      <c r="P25" s="389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2"/>
    </row>
    <row r="26" spans="2:29" ht="30" customHeight="1" thickBot="1">
      <c r="B26" s="94"/>
      <c r="C26" s="1192" t="s">
        <v>424</v>
      </c>
      <c r="D26" s="1192"/>
      <c r="E26" s="1192"/>
      <c r="F26" s="1192"/>
      <c r="G26" s="1192"/>
      <c r="H26" s="1192"/>
      <c r="I26" s="1192"/>
      <c r="J26" s="1192"/>
      <c r="K26" s="1192"/>
      <c r="L26" s="1192"/>
      <c r="M26" s="1192"/>
      <c r="N26" s="95"/>
      <c r="P26" s="389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2"/>
    </row>
    <row r="27" spans="2:29" ht="23.1" customHeight="1">
      <c r="B27" s="105"/>
      <c r="C27" s="1189"/>
      <c r="D27" s="1193"/>
      <c r="E27" s="740"/>
      <c r="F27" s="473"/>
      <c r="G27" s="474"/>
      <c r="H27" s="474"/>
      <c r="I27" s="474"/>
      <c r="J27" s="170">
        <f t="shared" ref="J27:J33" si="1">SUM(F27:I27)</f>
        <v>0</v>
      </c>
      <c r="K27" s="481"/>
      <c r="L27" s="482"/>
      <c r="M27" s="736"/>
      <c r="N27" s="106"/>
      <c r="P27" s="389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2"/>
    </row>
    <row r="28" spans="2:29" ht="23.1" customHeight="1">
      <c r="B28" s="105"/>
      <c r="C28" s="1187"/>
      <c r="D28" s="1188"/>
      <c r="E28" s="741"/>
      <c r="F28" s="466"/>
      <c r="G28" s="467"/>
      <c r="H28" s="467"/>
      <c r="I28" s="467"/>
      <c r="J28" s="162">
        <f t="shared" si="1"/>
        <v>0</v>
      </c>
      <c r="K28" s="483"/>
      <c r="L28" s="484"/>
      <c r="M28" s="737"/>
      <c r="N28" s="95"/>
      <c r="P28" s="389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2"/>
    </row>
    <row r="29" spans="2:29" ht="23.1" customHeight="1">
      <c r="B29" s="105"/>
      <c r="C29" s="1187"/>
      <c r="D29" s="1188"/>
      <c r="E29" s="741"/>
      <c r="F29" s="466"/>
      <c r="G29" s="467"/>
      <c r="H29" s="467"/>
      <c r="I29" s="467"/>
      <c r="J29" s="162">
        <f t="shared" si="1"/>
        <v>0</v>
      </c>
      <c r="K29" s="483"/>
      <c r="L29" s="484"/>
      <c r="M29" s="737"/>
      <c r="N29" s="95"/>
      <c r="P29" s="389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2"/>
    </row>
    <row r="30" spans="2:29" ht="23.1" customHeight="1">
      <c r="B30" s="105"/>
      <c r="C30" s="1187"/>
      <c r="D30" s="1188"/>
      <c r="E30" s="741"/>
      <c r="F30" s="466"/>
      <c r="G30" s="467"/>
      <c r="H30" s="467"/>
      <c r="I30" s="467"/>
      <c r="J30" s="162">
        <f t="shared" si="1"/>
        <v>0</v>
      </c>
      <c r="K30" s="483"/>
      <c r="L30" s="484"/>
      <c r="M30" s="737"/>
      <c r="N30" s="95"/>
      <c r="P30" s="399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1"/>
    </row>
    <row r="31" spans="2:29" ht="23.1" customHeight="1">
      <c r="B31" s="105"/>
      <c r="C31" s="1183"/>
      <c r="D31" s="1184"/>
      <c r="E31" s="742"/>
      <c r="F31" s="475"/>
      <c r="G31" s="476"/>
      <c r="H31" s="476"/>
      <c r="I31" s="476"/>
      <c r="J31" s="162">
        <f t="shared" si="1"/>
        <v>0</v>
      </c>
      <c r="K31" s="485"/>
      <c r="L31" s="486"/>
      <c r="M31" s="738"/>
      <c r="N31" s="95"/>
      <c r="P31" s="399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1"/>
    </row>
    <row r="32" spans="2:29" ht="23.1" customHeight="1">
      <c r="B32" s="105"/>
      <c r="C32" s="1183"/>
      <c r="D32" s="1184"/>
      <c r="E32" s="742"/>
      <c r="F32" s="475"/>
      <c r="G32" s="476"/>
      <c r="H32" s="476"/>
      <c r="I32" s="476"/>
      <c r="J32" s="162">
        <f t="shared" si="1"/>
        <v>0</v>
      </c>
      <c r="K32" s="485"/>
      <c r="L32" s="486"/>
      <c r="M32" s="738"/>
      <c r="N32" s="95"/>
      <c r="P32" s="389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2"/>
    </row>
    <row r="33" spans="2:29" ht="23.1" customHeight="1">
      <c r="B33" s="105"/>
      <c r="C33" s="1185"/>
      <c r="D33" s="1186"/>
      <c r="E33" s="743"/>
      <c r="F33" s="470"/>
      <c r="G33" s="471"/>
      <c r="H33" s="471"/>
      <c r="I33" s="471"/>
      <c r="J33" s="163">
        <f t="shared" si="1"/>
        <v>0</v>
      </c>
      <c r="K33" s="487"/>
      <c r="L33" s="488"/>
      <c r="M33" s="739"/>
      <c r="N33" s="95"/>
      <c r="P33" s="389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2"/>
    </row>
    <row r="34" spans="2:29" ht="23.1" customHeight="1" thickBot="1">
      <c r="B34" s="105"/>
      <c r="C34" s="148" t="s">
        <v>398</v>
      </c>
      <c r="D34" s="149"/>
      <c r="E34" s="161"/>
      <c r="F34" s="161">
        <f>SUM(F27:F33)</f>
        <v>0</v>
      </c>
      <c r="G34" s="161">
        <f>SUM(G27:G33)</f>
        <v>0</v>
      </c>
      <c r="H34" s="161">
        <f>SUM(H27:H33)</f>
        <v>0</v>
      </c>
      <c r="I34" s="161">
        <f>SUM(I27:I33)</f>
        <v>0</v>
      </c>
      <c r="J34" s="161">
        <f>SUM(J27:J33)</f>
        <v>0</v>
      </c>
      <c r="K34" s="166"/>
      <c r="L34" s="161">
        <f>SUM(L27:L33)</f>
        <v>0</v>
      </c>
      <c r="M34" s="150"/>
      <c r="N34" s="95"/>
      <c r="P34" s="389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2"/>
    </row>
    <row r="35" spans="2:29" ht="23.1" customHeight="1">
      <c r="B35" s="105"/>
      <c r="C35" s="138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95"/>
      <c r="P35" s="389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2"/>
    </row>
    <row r="36" spans="2:29" ht="23.1" customHeight="1">
      <c r="B36" s="105"/>
      <c r="C36" s="138"/>
      <c r="D36" s="138"/>
      <c r="E36" s="139"/>
      <c r="F36" s="139"/>
      <c r="G36" s="139"/>
      <c r="H36" s="139"/>
      <c r="I36" s="139"/>
      <c r="J36" s="139"/>
      <c r="K36" s="139"/>
      <c r="L36" s="139"/>
      <c r="M36" s="139"/>
      <c r="N36" s="95"/>
      <c r="P36" s="402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4"/>
    </row>
    <row r="37" spans="2:29" ht="23.1" customHeight="1">
      <c r="B37" s="105"/>
      <c r="C37" s="55" t="s">
        <v>426</v>
      </c>
      <c r="D37" s="19"/>
      <c r="E37" s="87"/>
      <c r="F37" s="87"/>
      <c r="G37" s="87"/>
      <c r="H37" s="87"/>
      <c r="I37" s="87"/>
      <c r="J37" s="87"/>
      <c r="K37" s="87"/>
      <c r="L37" s="87"/>
      <c r="M37" s="87"/>
      <c r="N37" s="95"/>
      <c r="P37" s="402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4"/>
    </row>
    <row r="38" spans="2:29" ht="23.1" customHeight="1">
      <c r="B38" s="105"/>
      <c r="C38" s="19"/>
      <c r="D38" s="19"/>
      <c r="E38" s="87"/>
      <c r="F38" s="87"/>
      <c r="G38" s="87"/>
      <c r="H38" s="87"/>
      <c r="I38" s="87"/>
      <c r="J38" s="87"/>
      <c r="K38" s="87"/>
      <c r="L38" s="87"/>
      <c r="M38" s="87"/>
      <c r="N38" s="95"/>
      <c r="P38" s="402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4"/>
    </row>
    <row r="39" spans="2:29" ht="23.1" customHeight="1">
      <c r="B39" s="105"/>
      <c r="C39" s="181"/>
      <c r="D39" s="182"/>
      <c r="E39" s="183" t="s">
        <v>416</v>
      </c>
      <c r="F39" s="183" t="s">
        <v>392</v>
      </c>
      <c r="G39" s="1180" t="s">
        <v>400</v>
      </c>
      <c r="H39" s="1181"/>
      <c r="I39" s="1181"/>
      <c r="J39" s="183" t="s">
        <v>411</v>
      </c>
      <c r="K39" s="183" t="s">
        <v>421</v>
      </c>
      <c r="L39" s="183" t="s">
        <v>422</v>
      </c>
      <c r="M39" s="1178" t="s">
        <v>774</v>
      </c>
      <c r="N39" s="95"/>
      <c r="P39" s="402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4"/>
    </row>
    <row r="40" spans="2:29" ht="49.35" customHeight="1">
      <c r="B40" s="105"/>
      <c r="C40" s="184" t="s">
        <v>415</v>
      </c>
      <c r="D40" s="185"/>
      <c r="E40" s="186" t="s">
        <v>417</v>
      </c>
      <c r="F40" s="186">
        <f>ejercicio</f>
        <v>2019</v>
      </c>
      <c r="G40" s="187" t="s">
        <v>418</v>
      </c>
      <c r="H40" s="188" t="s">
        <v>419</v>
      </c>
      <c r="I40" s="189" t="s">
        <v>420</v>
      </c>
      <c r="J40" s="186">
        <f>ejercicio</f>
        <v>2019</v>
      </c>
      <c r="K40" s="186" t="s">
        <v>773</v>
      </c>
      <c r="L40" s="186">
        <f>ejercicio</f>
        <v>2019</v>
      </c>
      <c r="M40" s="1179"/>
      <c r="N40" s="95"/>
      <c r="P40" s="402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3"/>
      <c r="AC40" s="404"/>
    </row>
    <row r="41" spans="2:29" ht="30" customHeight="1" thickBot="1">
      <c r="B41" s="105"/>
      <c r="C41" s="1191" t="s">
        <v>427</v>
      </c>
      <c r="D41" s="1191"/>
      <c r="E41" s="1191"/>
      <c r="F41" s="1191"/>
      <c r="G41" s="1191"/>
      <c r="H41" s="1191"/>
      <c r="I41" s="1191"/>
      <c r="J41" s="1191"/>
      <c r="K41" s="1191"/>
      <c r="L41" s="1191"/>
      <c r="M41" s="1191"/>
      <c r="N41" s="95"/>
      <c r="P41" s="402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4"/>
    </row>
    <row r="42" spans="2:29" ht="23.1" customHeight="1">
      <c r="B42" s="105"/>
      <c r="C42" s="1189"/>
      <c r="D42" s="1190"/>
      <c r="E42" s="740"/>
      <c r="F42" s="473"/>
      <c r="G42" s="474"/>
      <c r="H42" s="474"/>
      <c r="I42" s="474"/>
      <c r="J42" s="170">
        <f t="shared" ref="J42:J48" si="2">SUM(F42:I42)</f>
        <v>0</v>
      </c>
      <c r="K42" s="481"/>
      <c r="L42" s="732"/>
      <c r="M42" s="736"/>
      <c r="N42" s="95"/>
      <c r="P42" s="402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4"/>
    </row>
    <row r="43" spans="2:29" ht="23.1" customHeight="1">
      <c r="B43" s="105"/>
      <c r="C43" s="1187"/>
      <c r="D43" s="1184"/>
      <c r="E43" s="741"/>
      <c r="F43" s="466"/>
      <c r="G43" s="467"/>
      <c r="H43" s="467"/>
      <c r="I43" s="467"/>
      <c r="J43" s="162">
        <f t="shared" si="2"/>
        <v>0</v>
      </c>
      <c r="K43" s="483"/>
      <c r="L43" s="733"/>
      <c r="M43" s="737"/>
      <c r="N43" s="95"/>
      <c r="P43" s="402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4"/>
    </row>
    <row r="44" spans="2:29" ht="23.1" customHeight="1">
      <c r="B44" s="105"/>
      <c r="C44" s="1187"/>
      <c r="D44" s="1184"/>
      <c r="E44" s="741"/>
      <c r="F44" s="466"/>
      <c r="G44" s="467"/>
      <c r="H44" s="467"/>
      <c r="I44" s="467"/>
      <c r="J44" s="162">
        <f t="shared" si="2"/>
        <v>0</v>
      </c>
      <c r="K44" s="483"/>
      <c r="L44" s="733"/>
      <c r="M44" s="737"/>
      <c r="N44" s="95"/>
      <c r="P44" s="402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4"/>
    </row>
    <row r="45" spans="2:29" ht="23.1" customHeight="1">
      <c r="B45" s="105"/>
      <c r="C45" s="1187"/>
      <c r="D45" s="1184"/>
      <c r="E45" s="741"/>
      <c r="F45" s="466"/>
      <c r="G45" s="467"/>
      <c r="H45" s="467"/>
      <c r="I45" s="467"/>
      <c r="J45" s="162">
        <f t="shared" si="2"/>
        <v>0</v>
      </c>
      <c r="K45" s="483"/>
      <c r="L45" s="733"/>
      <c r="M45" s="737"/>
      <c r="N45" s="95"/>
      <c r="P45" s="402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4"/>
    </row>
    <row r="46" spans="2:29" ht="23.1" customHeight="1">
      <c r="B46" s="105"/>
      <c r="C46" s="1183"/>
      <c r="D46" s="1184"/>
      <c r="E46" s="742"/>
      <c r="F46" s="475"/>
      <c r="G46" s="476"/>
      <c r="H46" s="476"/>
      <c r="I46" s="476"/>
      <c r="J46" s="162">
        <f t="shared" si="2"/>
        <v>0</v>
      </c>
      <c r="K46" s="485"/>
      <c r="L46" s="734"/>
      <c r="M46" s="738"/>
      <c r="N46" s="95"/>
      <c r="P46" s="402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4"/>
    </row>
    <row r="47" spans="2:29" ht="23.1" customHeight="1">
      <c r="B47" s="105"/>
      <c r="C47" s="1183"/>
      <c r="D47" s="1184"/>
      <c r="E47" s="742"/>
      <c r="F47" s="475"/>
      <c r="G47" s="476"/>
      <c r="H47" s="476"/>
      <c r="I47" s="476"/>
      <c r="J47" s="162">
        <f t="shared" si="2"/>
        <v>0</v>
      </c>
      <c r="K47" s="485"/>
      <c r="L47" s="734"/>
      <c r="M47" s="738"/>
      <c r="N47" s="95"/>
      <c r="P47" s="402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4"/>
    </row>
    <row r="48" spans="2:29" ht="23.1" customHeight="1">
      <c r="B48" s="105"/>
      <c r="C48" s="1185"/>
      <c r="D48" s="1186"/>
      <c r="E48" s="743"/>
      <c r="F48" s="470"/>
      <c r="G48" s="471"/>
      <c r="H48" s="471"/>
      <c r="I48" s="471"/>
      <c r="J48" s="163">
        <f t="shared" si="2"/>
        <v>0</v>
      </c>
      <c r="K48" s="487"/>
      <c r="L48" s="735"/>
      <c r="M48" s="739"/>
      <c r="N48" s="95"/>
      <c r="P48" s="402"/>
      <c r="Q48" s="403"/>
      <c r="R48" s="403"/>
      <c r="S48" s="403"/>
      <c r="T48" s="403"/>
      <c r="U48" s="403"/>
      <c r="V48" s="403"/>
      <c r="W48" s="403"/>
      <c r="X48" s="403"/>
      <c r="Y48" s="403"/>
      <c r="Z48" s="403"/>
      <c r="AA48" s="403"/>
      <c r="AB48" s="403"/>
      <c r="AC48" s="404"/>
    </row>
    <row r="49" spans="2:29" ht="23.1" customHeight="1" thickBot="1">
      <c r="B49" s="105"/>
      <c r="C49" s="148" t="s">
        <v>398</v>
      </c>
      <c r="D49" s="149"/>
      <c r="E49" s="161"/>
      <c r="F49" s="161">
        <f>SUM(F42:F48)</f>
        <v>0</v>
      </c>
      <c r="G49" s="161">
        <f>SUM(G42:G48)</f>
        <v>0</v>
      </c>
      <c r="H49" s="161">
        <f>SUM(H42:H48)</f>
        <v>0</v>
      </c>
      <c r="I49" s="161">
        <f>SUM(I42:I48)</f>
        <v>0</v>
      </c>
      <c r="J49" s="161">
        <f>SUM(J42:J48)</f>
        <v>0</v>
      </c>
      <c r="K49" s="489"/>
      <c r="L49" s="161">
        <f>SUM(L42:L48)</f>
        <v>0</v>
      </c>
      <c r="M49" s="150"/>
      <c r="N49" s="95"/>
      <c r="P49" s="402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4"/>
    </row>
    <row r="50" spans="2:29" ht="29.1" customHeight="1" thickBot="1">
      <c r="B50" s="105"/>
      <c r="C50" s="1192" t="s">
        <v>428</v>
      </c>
      <c r="D50" s="1192"/>
      <c r="E50" s="1192"/>
      <c r="F50" s="1192"/>
      <c r="G50" s="1192"/>
      <c r="H50" s="1192"/>
      <c r="I50" s="1192"/>
      <c r="J50" s="1192"/>
      <c r="K50" s="1192"/>
      <c r="L50" s="1192"/>
      <c r="M50" s="1192"/>
      <c r="N50" s="95"/>
      <c r="P50" s="402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4"/>
    </row>
    <row r="51" spans="2:29" ht="23.1" customHeight="1">
      <c r="B51" s="105"/>
      <c r="C51" s="1187"/>
      <c r="D51" s="1188"/>
      <c r="E51" s="740"/>
      <c r="F51" s="473"/>
      <c r="G51" s="474"/>
      <c r="H51" s="474"/>
      <c r="I51" s="474"/>
      <c r="J51" s="170">
        <f t="shared" ref="J51:J57" si="3">SUM(F51:I51)</f>
        <v>0</v>
      </c>
      <c r="K51" s="481"/>
      <c r="L51" s="482"/>
      <c r="M51" s="736"/>
      <c r="N51" s="95"/>
      <c r="P51" s="402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4"/>
    </row>
    <row r="52" spans="2:29" ht="23.1" customHeight="1">
      <c r="B52" s="105"/>
      <c r="C52" s="1187" t="s">
        <v>1051</v>
      </c>
      <c r="D52" s="1184"/>
      <c r="E52" s="741">
        <v>260</v>
      </c>
      <c r="F52" s="466">
        <v>60000</v>
      </c>
      <c r="G52" s="467"/>
      <c r="H52" s="467"/>
      <c r="I52" s="467"/>
      <c r="J52" s="162">
        <f t="shared" si="3"/>
        <v>60000</v>
      </c>
      <c r="K52" s="483"/>
      <c r="L52" s="484"/>
      <c r="M52" s="737"/>
      <c r="N52" s="95"/>
      <c r="P52" s="402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4"/>
    </row>
    <row r="53" spans="2:29" ht="23.1" customHeight="1">
      <c r="B53" s="105"/>
      <c r="C53" s="1187" t="s">
        <v>1052</v>
      </c>
      <c r="D53" s="1184"/>
      <c r="E53" s="741">
        <v>260</v>
      </c>
      <c r="F53" s="466">
        <v>2871.67</v>
      </c>
      <c r="G53" s="467"/>
      <c r="H53" s="467"/>
      <c r="I53" s="467"/>
      <c r="J53" s="162">
        <f t="shared" si="3"/>
        <v>2871.67</v>
      </c>
      <c r="K53" s="483"/>
      <c r="L53" s="484"/>
      <c r="M53" s="737"/>
      <c r="N53" s="95"/>
      <c r="P53" s="402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4"/>
    </row>
    <row r="54" spans="2:29" ht="23.1" customHeight="1">
      <c r="B54" s="105"/>
      <c r="C54" s="1187" t="s">
        <v>1053</v>
      </c>
      <c r="D54" s="1184"/>
      <c r="E54" s="741">
        <v>260</v>
      </c>
      <c r="F54" s="466">
        <v>100</v>
      </c>
      <c r="G54" s="467"/>
      <c r="H54" s="467"/>
      <c r="I54" s="467"/>
      <c r="J54" s="162">
        <f t="shared" si="3"/>
        <v>100</v>
      </c>
      <c r="K54" s="483"/>
      <c r="L54" s="484"/>
      <c r="M54" s="737"/>
      <c r="N54" s="95"/>
      <c r="P54" s="402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4"/>
    </row>
    <row r="55" spans="2:29" ht="23.1" customHeight="1">
      <c r="B55" s="105"/>
      <c r="C55" s="1183"/>
      <c r="D55" s="1184"/>
      <c r="E55" s="742"/>
      <c r="F55" s="475"/>
      <c r="G55" s="476"/>
      <c r="H55" s="476"/>
      <c r="I55" s="476"/>
      <c r="J55" s="162">
        <f t="shared" si="3"/>
        <v>0</v>
      </c>
      <c r="K55" s="485"/>
      <c r="L55" s="486"/>
      <c r="M55" s="738"/>
      <c r="N55" s="95"/>
      <c r="P55" s="402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4"/>
    </row>
    <row r="56" spans="2:29" ht="23.1" customHeight="1">
      <c r="B56" s="105"/>
      <c r="C56" s="1183"/>
      <c r="D56" s="1184"/>
      <c r="E56" s="742"/>
      <c r="F56" s="475"/>
      <c r="G56" s="476"/>
      <c r="H56" s="476"/>
      <c r="I56" s="476"/>
      <c r="J56" s="162">
        <f t="shared" si="3"/>
        <v>0</v>
      </c>
      <c r="K56" s="485"/>
      <c r="L56" s="486"/>
      <c r="M56" s="738"/>
      <c r="N56" s="95"/>
      <c r="P56" s="402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4"/>
    </row>
    <row r="57" spans="2:29" ht="23.1" customHeight="1">
      <c r="B57" s="105"/>
      <c r="C57" s="1185"/>
      <c r="D57" s="1186"/>
      <c r="E57" s="743"/>
      <c r="F57" s="470"/>
      <c r="G57" s="471"/>
      <c r="H57" s="471"/>
      <c r="I57" s="471"/>
      <c r="J57" s="163">
        <f t="shared" si="3"/>
        <v>0</v>
      </c>
      <c r="K57" s="487"/>
      <c r="L57" s="488"/>
      <c r="M57" s="739"/>
      <c r="N57" s="95"/>
      <c r="P57" s="402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4"/>
    </row>
    <row r="58" spans="2:29" ht="23.1" customHeight="1" thickBot="1">
      <c r="B58" s="105"/>
      <c r="C58" s="148" t="s">
        <v>398</v>
      </c>
      <c r="D58" s="149"/>
      <c r="E58" s="161"/>
      <c r="F58" s="161">
        <f>SUM(F51:F57)</f>
        <v>62971.67</v>
      </c>
      <c r="G58" s="161">
        <f>SUM(G51:G57)</f>
        <v>0</v>
      </c>
      <c r="H58" s="161">
        <f>SUM(H51:H57)</f>
        <v>0</v>
      </c>
      <c r="I58" s="161">
        <f>SUM(I51:I57)</f>
        <v>0</v>
      </c>
      <c r="J58" s="161">
        <f>SUM(J51:J57)</f>
        <v>62971.67</v>
      </c>
      <c r="K58" s="166"/>
      <c r="L58" s="161">
        <f>SUM(L51:L57)</f>
        <v>0</v>
      </c>
      <c r="M58" s="150"/>
      <c r="N58" s="95"/>
      <c r="P58" s="402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4"/>
    </row>
    <row r="59" spans="2:29" ht="23.1" customHeight="1">
      <c r="B59" s="105"/>
      <c r="C59" s="138"/>
      <c r="D59" s="138"/>
      <c r="E59" s="139"/>
      <c r="F59" s="139"/>
      <c r="G59" s="139"/>
      <c r="H59" s="139"/>
      <c r="I59" s="139"/>
      <c r="J59" s="139"/>
      <c r="K59" s="139"/>
      <c r="L59" s="139"/>
      <c r="M59" s="139"/>
      <c r="N59" s="95"/>
      <c r="P59" s="402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4"/>
    </row>
    <row r="60" spans="2:29" ht="23.1" customHeight="1">
      <c r="B60" s="105"/>
      <c r="C60" s="157" t="s">
        <v>409</v>
      </c>
      <c r="D60" s="155"/>
      <c r="E60" s="156"/>
      <c r="F60" s="156"/>
      <c r="G60" s="156"/>
      <c r="H60" s="156"/>
      <c r="I60" s="156"/>
      <c r="J60" s="156"/>
      <c r="K60" s="156"/>
      <c r="L60" s="156"/>
      <c r="M60" s="87"/>
      <c r="N60" s="95"/>
      <c r="P60" s="402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4"/>
    </row>
    <row r="61" spans="2:29" ht="18">
      <c r="B61" s="105"/>
      <c r="C61" s="155" t="s">
        <v>429</v>
      </c>
      <c r="D61" s="155"/>
      <c r="E61" s="156"/>
      <c r="F61" s="156"/>
      <c r="G61" s="156"/>
      <c r="H61" s="156"/>
      <c r="I61" s="156"/>
      <c r="J61" s="156"/>
      <c r="K61" s="156"/>
      <c r="L61" s="156"/>
      <c r="M61" s="87"/>
      <c r="N61" s="95"/>
      <c r="P61" s="402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4"/>
    </row>
    <row r="62" spans="2:29" ht="18">
      <c r="B62" s="105"/>
      <c r="C62" s="155" t="s">
        <v>430</v>
      </c>
      <c r="D62" s="155"/>
      <c r="E62" s="156"/>
      <c r="F62" s="156"/>
      <c r="G62" s="156"/>
      <c r="H62" s="156"/>
      <c r="I62" s="156"/>
      <c r="J62" s="156"/>
      <c r="K62" s="156"/>
      <c r="L62" s="156"/>
      <c r="M62" s="87"/>
      <c r="N62" s="95"/>
      <c r="P62" s="402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4"/>
    </row>
    <row r="63" spans="2:29" ht="18">
      <c r="B63" s="105"/>
      <c r="C63" s="155" t="s">
        <v>431</v>
      </c>
      <c r="D63" s="155"/>
      <c r="E63" s="156"/>
      <c r="F63" s="156"/>
      <c r="G63" s="156"/>
      <c r="H63" s="156"/>
      <c r="I63" s="156"/>
      <c r="J63" s="156"/>
      <c r="K63" s="156"/>
      <c r="L63" s="156"/>
      <c r="M63" s="87"/>
      <c r="N63" s="95"/>
      <c r="P63" s="402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4"/>
    </row>
    <row r="64" spans="2:29" ht="18">
      <c r="B64" s="105"/>
      <c r="C64" s="155" t="s">
        <v>432</v>
      </c>
      <c r="D64" s="155"/>
      <c r="E64" s="156"/>
      <c r="F64" s="156"/>
      <c r="G64" s="156"/>
      <c r="H64" s="156"/>
      <c r="I64" s="156"/>
      <c r="J64" s="156"/>
      <c r="K64" s="156"/>
      <c r="L64" s="156"/>
      <c r="M64" s="87"/>
      <c r="N64" s="95"/>
      <c r="P64" s="402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4"/>
    </row>
    <row r="65" spans="2:29" ht="18">
      <c r="B65" s="105"/>
      <c r="C65" s="155" t="s">
        <v>433</v>
      </c>
      <c r="D65" s="155"/>
      <c r="E65" s="156"/>
      <c r="F65" s="156"/>
      <c r="G65" s="156"/>
      <c r="H65" s="156"/>
      <c r="I65" s="156"/>
      <c r="J65" s="156"/>
      <c r="K65" s="156"/>
      <c r="L65" s="156"/>
      <c r="M65" s="87"/>
      <c r="N65" s="95"/>
      <c r="P65" s="402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4"/>
    </row>
    <row r="66" spans="2:29" ht="18">
      <c r="B66" s="105"/>
      <c r="C66" s="155" t="s">
        <v>772</v>
      </c>
      <c r="D66" s="155"/>
      <c r="E66" s="156"/>
      <c r="F66" s="156"/>
      <c r="G66" s="156"/>
      <c r="H66" s="156"/>
      <c r="I66" s="156"/>
      <c r="J66" s="156"/>
      <c r="K66" s="156"/>
      <c r="L66" s="156"/>
      <c r="M66" s="87"/>
      <c r="N66" s="95"/>
      <c r="P66" s="402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4"/>
    </row>
    <row r="67" spans="2:29" ht="18">
      <c r="B67" s="105"/>
      <c r="C67" s="155" t="s">
        <v>710</v>
      </c>
      <c r="D67" s="155"/>
      <c r="E67" s="156"/>
      <c r="F67" s="156"/>
      <c r="G67" s="156"/>
      <c r="H67" s="156"/>
      <c r="I67" s="156"/>
      <c r="J67" s="156"/>
      <c r="K67" s="156"/>
      <c r="L67" s="156"/>
      <c r="M67" s="87"/>
      <c r="N67" s="95"/>
      <c r="P67" s="402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4"/>
    </row>
    <row r="68" spans="2:29" ht="18">
      <c r="B68" s="105"/>
      <c r="C68" s="155" t="s">
        <v>434</v>
      </c>
      <c r="D68" s="155"/>
      <c r="E68" s="156"/>
      <c r="F68" s="156"/>
      <c r="G68" s="156"/>
      <c r="H68" s="156"/>
      <c r="I68" s="156"/>
      <c r="J68" s="156"/>
      <c r="K68" s="156"/>
      <c r="L68" s="156"/>
      <c r="M68" s="87"/>
      <c r="N68" s="95"/>
      <c r="P68" s="402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4"/>
    </row>
    <row r="69" spans="2:29" ht="18">
      <c r="B69" s="105"/>
      <c r="C69" s="155" t="s">
        <v>435</v>
      </c>
      <c r="D69" s="155"/>
      <c r="E69" s="156"/>
      <c r="F69" s="156"/>
      <c r="G69" s="156"/>
      <c r="H69" s="156"/>
      <c r="I69" s="156"/>
      <c r="J69" s="156"/>
      <c r="K69" s="156"/>
      <c r="L69" s="156"/>
      <c r="M69" s="87"/>
      <c r="N69" s="95"/>
      <c r="P69" s="402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4"/>
    </row>
    <row r="70" spans="2:29" ht="18">
      <c r="B70" s="105"/>
      <c r="C70" s="155" t="s">
        <v>436</v>
      </c>
      <c r="D70" s="155"/>
      <c r="E70" s="156"/>
      <c r="F70" s="156"/>
      <c r="G70" s="156"/>
      <c r="H70" s="156"/>
      <c r="I70" s="156"/>
      <c r="J70" s="156"/>
      <c r="K70" s="156"/>
      <c r="L70" s="156"/>
      <c r="M70" s="87"/>
      <c r="N70" s="95"/>
      <c r="P70" s="402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4"/>
    </row>
    <row r="71" spans="2:29" ht="23.1" customHeight="1" thickBot="1">
      <c r="B71" s="108"/>
      <c r="C71" s="1116"/>
      <c r="D71" s="1116"/>
      <c r="E71" s="1116"/>
      <c r="F71" s="1116"/>
      <c r="G71" s="48"/>
      <c r="H71" s="48"/>
      <c r="I71" s="48"/>
      <c r="J71" s="48"/>
      <c r="K71" s="48"/>
      <c r="L71" s="48"/>
      <c r="M71" s="109"/>
      <c r="N71" s="110"/>
      <c r="P71" s="405"/>
      <c r="Q71" s="406"/>
      <c r="R71" s="406"/>
      <c r="S71" s="406"/>
      <c r="T71" s="406"/>
      <c r="U71" s="406"/>
      <c r="V71" s="406"/>
      <c r="W71" s="406"/>
      <c r="X71" s="406"/>
      <c r="Y71" s="406"/>
      <c r="Z71" s="406"/>
      <c r="AA71" s="406"/>
      <c r="AB71" s="406"/>
      <c r="AC71" s="407"/>
    </row>
    <row r="72" spans="2:29" ht="23.1" customHeight="1">
      <c r="O72" s="88" t="s">
        <v>951</v>
      </c>
    </row>
    <row r="73" spans="2:29" ht="12.75">
      <c r="C73" s="111" t="s">
        <v>72</v>
      </c>
      <c r="M73" s="86" t="s">
        <v>52</v>
      </c>
    </row>
    <row r="74" spans="2:29" ht="12.75">
      <c r="C74" s="111" t="s">
        <v>73</v>
      </c>
    </row>
    <row r="75" spans="2:29" ht="12.75">
      <c r="C75" s="111" t="s">
        <v>74</v>
      </c>
    </row>
    <row r="76" spans="2:29" ht="12.75">
      <c r="C76" s="111" t="s">
        <v>75</v>
      </c>
    </row>
    <row r="77" spans="2:29" ht="12.75">
      <c r="C77" s="111" t="s">
        <v>76</v>
      </c>
    </row>
  </sheetData>
  <sheetProtection password="C494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F117"/>
  <sheetViews>
    <sheetView topLeftCell="A44" zoomScale="90" zoomScaleNormal="90" zoomScalePageLayoutView="125" workbookViewId="0">
      <selection activeCell="N20" sqref="N20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15.6640625" style="88" customWidth="1"/>
    <col min="5" max="5" width="27.6640625" style="89" customWidth="1"/>
    <col min="6" max="6" width="15.44140625" style="89" customWidth="1"/>
    <col min="7" max="13" width="15.33203125" style="89" customWidth="1"/>
    <col min="14" max="16" width="9.6640625" style="89" customWidth="1"/>
    <col min="17" max="17" width="3.33203125" style="88" customWidth="1"/>
    <col min="18" max="18" width="3.44140625" style="88" customWidth="1"/>
    <col min="19" max="16384" width="10.6640625" style="88"/>
  </cols>
  <sheetData>
    <row r="2" spans="1:32" ht="23.1" customHeight="1">
      <c r="D2" s="202" t="s">
        <v>374</v>
      </c>
    </row>
    <row r="3" spans="1:32" ht="23.1" customHeight="1">
      <c r="D3" s="202" t="s">
        <v>375</v>
      </c>
    </row>
    <row r="4" spans="1:32" ht="23.1" customHeight="1" thickBot="1">
      <c r="A4" s="88" t="s">
        <v>950</v>
      </c>
    </row>
    <row r="5" spans="1:32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S5" s="386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8"/>
    </row>
    <row r="6" spans="1:32" ht="30" customHeight="1">
      <c r="B6" s="94"/>
      <c r="C6" s="59" t="s">
        <v>0</v>
      </c>
      <c r="P6" s="1110">
        <f>ejercicio</f>
        <v>2019</v>
      </c>
      <c r="Q6" s="95"/>
      <c r="S6" s="389"/>
      <c r="T6" s="390" t="s">
        <v>689</v>
      </c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2"/>
    </row>
    <row r="7" spans="1:32" ht="30" customHeight="1">
      <c r="B7" s="94"/>
      <c r="C7" s="59" t="s">
        <v>1</v>
      </c>
      <c r="P7" s="1110"/>
      <c r="Q7" s="95"/>
      <c r="S7" s="389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2"/>
    </row>
    <row r="8" spans="1:32" ht="30" customHeight="1">
      <c r="B8" s="94"/>
      <c r="C8" s="96"/>
      <c r="P8" s="97"/>
      <c r="Q8" s="95"/>
      <c r="S8" s="389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2"/>
    </row>
    <row r="9" spans="1:32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74"/>
      <c r="S9" s="389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2"/>
    </row>
    <row r="10" spans="1:32" ht="7.35" customHeight="1">
      <c r="B10" s="94"/>
      <c r="Q10" s="95"/>
      <c r="S10" s="389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2"/>
    </row>
    <row r="11" spans="1:32" s="104" customFormat="1" ht="30" customHeight="1">
      <c r="B11" s="100"/>
      <c r="C11" s="101" t="s">
        <v>794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S11" s="389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2"/>
    </row>
    <row r="12" spans="1:32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103"/>
      <c r="S12" s="389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2"/>
    </row>
    <row r="13" spans="1:32" s="104" customFormat="1" ht="30" customHeight="1">
      <c r="B13" s="100"/>
      <c r="C13" s="55" t="s">
        <v>437</v>
      </c>
      <c r="D13" s="19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103"/>
      <c r="S13" s="389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2"/>
    </row>
    <row r="14" spans="1:32" s="104" customFormat="1" ht="30" customHeight="1">
      <c r="B14" s="100"/>
      <c r="C14" s="19" t="s">
        <v>438</v>
      </c>
      <c r="D14" s="19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103"/>
      <c r="S14" s="389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2"/>
    </row>
    <row r="15" spans="1:32" s="104" customFormat="1" ht="30" customHeight="1">
      <c r="B15" s="100"/>
      <c r="C15" s="1205"/>
      <c r="D15" s="1206"/>
      <c r="E15" s="863"/>
      <c r="F15" s="1211" t="s">
        <v>829</v>
      </c>
      <c r="G15" s="1212"/>
      <c r="H15" s="1212"/>
      <c r="I15" s="1212"/>
      <c r="J15" s="1212"/>
      <c r="K15" s="1213"/>
      <c r="L15" s="1207" t="s">
        <v>827</v>
      </c>
      <c r="M15" s="1208"/>
      <c r="N15" s="801"/>
      <c r="O15" s="801"/>
      <c r="P15" s="801"/>
      <c r="Q15" s="103"/>
      <c r="S15" s="389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2"/>
    </row>
    <row r="16" spans="1:32" s="799" customFormat="1" ht="36" customHeight="1">
      <c r="B16" s="800"/>
      <c r="C16" s="1198" t="s">
        <v>792</v>
      </c>
      <c r="D16" s="1199"/>
      <c r="E16" s="864"/>
      <c r="F16" s="865" t="s">
        <v>826</v>
      </c>
      <c r="G16" s="1200">
        <f>ejercicio-1</f>
        <v>2018</v>
      </c>
      <c r="H16" s="1202"/>
      <c r="I16" s="866" t="s">
        <v>826</v>
      </c>
      <c r="J16" s="1200">
        <f>ejercicio</f>
        <v>2019</v>
      </c>
      <c r="K16" s="1202"/>
      <c r="L16" s="1210" t="s">
        <v>828</v>
      </c>
      <c r="M16" s="1201"/>
      <c r="N16" s="808"/>
      <c r="O16" s="808"/>
      <c r="P16" s="808"/>
      <c r="Q16" s="803"/>
      <c r="S16" s="804"/>
      <c r="T16" s="805"/>
      <c r="U16" s="805"/>
      <c r="V16" s="805"/>
      <c r="W16" s="805"/>
      <c r="X16" s="805"/>
      <c r="Y16" s="805"/>
      <c r="Z16" s="805"/>
      <c r="AA16" s="805"/>
      <c r="AB16" s="805"/>
      <c r="AC16" s="805"/>
      <c r="AD16" s="805"/>
      <c r="AE16" s="805"/>
      <c r="AF16" s="806"/>
    </row>
    <row r="17" spans="1:32" s="141" customFormat="1" ht="23.1" customHeight="1">
      <c r="B17" s="807"/>
      <c r="C17" s="1214" t="s">
        <v>793</v>
      </c>
      <c r="D17" s="1215"/>
      <c r="E17" s="839" t="s">
        <v>439</v>
      </c>
      <c r="F17" s="840">
        <f>ejercicio-1</f>
        <v>2018</v>
      </c>
      <c r="G17" s="802" t="s">
        <v>830</v>
      </c>
      <c r="H17" s="847" t="s">
        <v>825</v>
      </c>
      <c r="I17" s="846">
        <f>ejercicio</f>
        <v>2019</v>
      </c>
      <c r="J17" s="802" t="s">
        <v>830</v>
      </c>
      <c r="K17" s="847" t="s">
        <v>825</v>
      </c>
      <c r="L17" s="832">
        <f>ejercicio-1</f>
        <v>2018</v>
      </c>
      <c r="M17" s="802">
        <f>ejercicio</f>
        <v>2019</v>
      </c>
      <c r="N17" s="802" t="s">
        <v>441</v>
      </c>
      <c r="O17" s="802" t="s">
        <v>443</v>
      </c>
      <c r="P17" s="802" t="s">
        <v>442</v>
      </c>
      <c r="Q17" s="809"/>
      <c r="S17" s="804"/>
      <c r="T17" s="805"/>
      <c r="U17" s="805"/>
      <c r="V17" s="805"/>
      <c r="W17" s="805"/>
      <c r="X17" s="805"/>
      <c r="Y17" s="805"/>
      <c r="Z17" s="805"/>
      <c r="AA17" s="805"/>
      <c r="AB17" s="805"/>
      <c r="AC17" s="805"/>
      <c r="AD17" s="805"/>
      <c r="AE17" s="805"/>
      <c r="AF17" s="806"/>
    </row>
    <row r="18" spans="1:32" s="175" customFormat="1" ht="8.1" customHeight="1">
      <c r="B18" s="173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172"/>
      <c r="N18" s="172"/>
      <c r="O18" s="172"/>
      <c r="P18" s="172"/>
      <c r="Q18" s="174"/>
      <c r="S18" s="389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2"/>
    </row>
    <row r="19" spans="1:32" s="29" customFormat="1" ht="23.1" customHeight="1">
      <c r="A19" s="175"/>
      <c r="B19" s="173"/>
      <c r="C19" s="1216" t="s">
        <v>392</v>
      </c>
      <c r="D19" s="1217"/>
      <c r="E19" s="1217"/>
      <c r="F19" s="860">
        <f>G19+H19</f>
        <v>1234558.4200000002</v>
      </c>
      <c r="G19" s="490">
        <v>1218595.1200000001</v>
      </c>
      <c r="H19" s="848">
        <v>15963.3</v>
      </c>
      <c r="I19" s="860">
        <f>+J19+K19</f>
        <v>1234558.4200000002</v>
      </c>
      <c r="J19" s="490">
        <f>G34</f>
        <v>1218595.1200000001</v>
      </c>
      <c r="K19" s="848">
        <f>H34</f>
        <v>15963.3</v>
      </c>
      <c r="L19" s="204"/>
      <c r="M19" s="204"/>
      <c r="N19" s="204"/>
      <c r="O19" s="204"/>
      <c r="P19" s="204"/>
      <c r="Q19" s="106"/>
      <c r="S19" s="389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2"/>
    </row>
    <row r="20" spans="1:32" s="29" customFormat="1" ht="9" customHeight="1">
      <c r="A20" s="175"/>
      <c r="B20" s="173"/>
      <c r="N20" s="879"/>
      <c r="O20" s="879"/>
      <c r="P20" s="879"/>
      <c r="Q20" s="106"/>
      <c r="S20" s="389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2"/>
    </row>
    <row r="21" spans="1:32" s="29" customFormat="1" ht="23.1" customHeight="1">
      <c r="A21" s="175"/>
      <c r="B21" s="173"/>
      <c r="C21" s="885" t="s">
        <v>1063</v>
      </c>
      <c r="D21" s="539"/>
      <c r="E21" s="1077"/>
      <c r="F21" s="841"/>
      <c r="G21" s="462"/>
      <c r="H21" s="849"/>
      <c r="I21" s="794">
        <v>83400</v>
      </c>
      <c r="J21" s="794">
        <v>83400</v>
      </c>
      <c r="K21" s="855"/>
      <c r="L21" s="794"/>
      <c r="M21" s="794">
        <f>+J21</f>
        <v>83400</v>
      </c>
      <c r="N21" s="1101" t="s">
        <v>1069</v>
      </c>
      <c r="O21" s="1101">
        <v>3331</v>
      </c>
      <c r="P21" s="1102">
        <v>74301</v>
      </c>
      <c r="Q21" s="106"/>
      <c r="S21" s="389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2"/>
    </row>
    <row r="22" spans="1:32" s="29" customFormat="1" ht="23.1" customHeight="1">
      <c r="B22" s="105"/>
      <c r="C22" s="1076" t="s">
        <v>1059</v>
      </c>
      <c r="D22" s="541"/>
      <c r="E22" s="1078"/>
      <c r="F22" s="842"/>
      <c r="G22" s="473"/>
      <c r="H22" s="850"/>
      <c r="I22" s="795">
        <v>60000</v>
      </c>
      <c r="J22" s="794">
        <v>60000</v>
      </c>
      <c r="K22" s="856"/>
      <c r="L22" s="795"/>
      <c r="M22" s="795">
        <f>+J22</f>
        <v>60000</v>
      </c>
      <c r="N22" s="1103" t="s">
        <v>1072</v>
      </c>
      <c r="O22" s="1103" t="s">
        <v>1073</v>
      </c>
      <c r="P22" s="1105" t="s">
        <v>1074</v>
      </c>
      <c r="Q22" s="106"/>
      <c r="S22" s="389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2"/>
    </row>
    <row r="23" spans="1:32" s="29" customFormat="1" ht="23.1" customHeight="1">
      <c r="B23" s="105"/>
      <c r="C23" s="1076" t="s">
        <v>1060</v>
      </c>
      <c r="D23" s="541"/>
      <c r="E23" s="1078"/>
      <c r="F23" s="842"/>
      <c r="G23" s="473"/>
      <c r="H23" s="850"/>
      <c r="I23" s="795">
        <v>50000</v>
      </c>
      <c r="J23" s="794">
        <v>50000</v>
      </c>
      <c r="K23" s="856"/>
      <c r="L23" s="795"/>
      <c r="M23" s="795">
        <f>+J23</f>
        <v>50000</v>
      </c>
      <c r="N23" s="1103" t="s">
        <v>1069</v>
      </c>
      <c r="O23" s="1103" t="s">
        <v>1070</v>
      </c>
      <c r="P23" s="1105" t="s">
        <v>1074</v>
      </c>
      <c r="Q23" s="106"/>
      <c r="S23" s="389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2"/>
    </row>
    <row r="24" spans="1:32" s="29" customFormat="1" ht="23.1" customHeight="1">
      <c r="B24" s="105"/>
      <c r="C24" s="540"/>
      <c r="D24" s="541"/>
      <c r="E24" s="833"/>
      <c r="F24" s="842"/>
      <c r="G24" s="473"/>
      <c r="H24" s="850"/>
      <c r="I24" s="795"/>
      <c r="J24" s="795"/>
      <c r="K24" s="856"/>
      <c r="L24" s="795"/>
      <c r="M24" s="795"/>
      <c r="N24" s="746"/>
      <c r="O24" s="746"/>
      <c r="P24" s="747"/>
      <c r="Q24" s="106"/>
      <c r="S24" s="389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2"/>
    </row>
    <row r="25" spans="1:32" ht="23.1" customHeight="1">
      <c r="B25" s="105"/>
      <c r="C25" s="540"/>
      <c r="D25" s="541"/>
      <c r="E25" s="834"/>
      <c r="F25" s="843"/>
      <c r="G25" s="466"/>
      <c r="H25" s="851"/>
      <c r="I25" s="796"/>
      <c r="J25" s="796"/>
      <c r="K25" s="857"/>
      <c r="L25" s="796"/>
      <c r="M25" s="796"/>
      <c r="N25" s="748"/>
      <c r="O25" s="748"/>
      <c r="P25" s="749"/>
      <c r="Q25" s="95"/>
      <c r="S25" s="389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2"/>
    </row>
    <row r="26" spans="1:32" ht="23.1" customHeight="1">
      <c r="B26" s="105"/>
      <c r="C26" s="540"/>
      <c r="D26" s="541"/>
      <c r="E26" s="834"/>
      <c r="F26" s="843"/>
      <c r="G26" s="466"/>
      <c r="H26" s="851"/>
      <c r="I26" s="796"/>
      <c r="J26" s="796"/>
      <c r="K26" s="857"/>
      <c r="L26" s="796"/>
      <c r="M26" s="796"/>
      <c r="N26" s="748"/>
      <c r="O26" s="748"/>
      <c r="P26" s="749"/>
      <c r="Q26" s="95"/>
      <c r="S26" s="389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2"/>
    </row>
    <row r="27" spans="1:32" ht="23.1" customHeight="1">
      <c r="B27" s="105"/>
      <c r="C27" s="540"/>
      <c r="D27" s="541"/>
      <c r="E27" s="834"/>
      <c r="F27" s="843"/>
      <c r="G27" s="466"/>
      <c r="H27" s="851"/>
      <c r="I27" s="796"/>
      <c r="J27" s="796"/>
      <c r="K27" s="857"/>
      <c r="L27" s="796"/>
      <c r="M27" s="796"/>
      <c r="N27" s="748"/>
      <c r="O27" s="748"/>
      <c r="P27" s="749"/>
      <c r="Q27" s="95"/>
      <c r="S27" s="389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2"/>
    </row>
    <row r="28" spans="1:32" ht="23.1" customHeight="1">
      <c r="B28" s="105"/>
      <c r="C28" s="540"/>
      <c r="D28" s="541"/>
      <c r="E28" s="835"/>
      <c r="F28" s="844"/>
      <c r="G28" s="475"/>
      <c r="H28" s="852"/>
      <c r="I28" s="797"/>
      <c r="J28" s="797"/>
      <c r="K28" s="858"/>
      <c r="L28" s="797"/>
      <c r="M28" s="797"/>
      <c r="N28" s="750"/>
      <c r="O28" s="750"/>
      <c r="P28" s="751"/>
      <c r="Q28" s="95"/>
      <c r="S28" s="389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2"/>
    </row>
    <row r="29" spans="1:32" ht="23.1" customHeight="1">
      <c r="B29" s="105"/>
      <c r="C29" s="540"/>
      <c r="D29" s="541"/>
      <c r="E29" s="835"/>
      <c r="F29" s="844"/>
      <c r="G29" s="475"/>
      <c r="H29" s="852"/>
      <c r="I29" s="797"/>
      <c r="J29" s="797"/>
      <c r="K29" s="858"/>
      <c r="L29" s="797"/>
      <c r="M29" s="797"/>
      <c r="N29" s="750"/>
      <c r="O29" s="750"/>
      <c r="P29" s="751"/>
      <c r="Q29" s="95"/>
      <c r="S29" s="389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2"/>
    </row>
    <row r="30" spans="1:32" ht="23.1" customHeight="1">
      <c r="B30" s="105"/>
      <c r="C30" s="542"/>
      <c r="D30" s="543"/>
      <c r="E30" s="836"/>
      <c r="F30" s="845"/>
      <c r="G30" s="470"/>
      <c r="H30" s="853"/>
      <c r="I30" s="798"/>
      <c r="J30" s="798"/>
      <c r="K30" s="859"/>
      <c r="L30" s="798"/>
      <c r="M30" s="798"/>
      <c r="N30" s="752"/>
      <c r="O30" s="752"/>
      <c r="P30" s="753"/>
      <c r="Q30" s="95"/>
      <c r="S30" s="389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2"/>
    </row>
    <row r="31" spans="1:32" ht="23.1" customHeight="1" thickBot="1">
      <c r="B31" s="105"/>
      <c r="C31" s="148" t="s">
        <v>444</v>
      </c>
      <c r="D31" s="149"/>
      <c r="E31" s="880"/>
      <c r="F31" s="881">
        <f t="shared" ref="F31:M31" si="0">SUM(F21:F30)</f>
        <v>0</v>
      </c>
      <c r="G31" s="161">
        <f t="shared" si="0"/>
        <v>0</v>
      </c>
      <c r="H31" s="882">
        <f t="shared" si="0"/>
        <v>0</v>
      </c>
      <c r="I31" s="166">
        <f t="shared" si="0"/>
        <v>193400</v>
      </c>
      <c r="J31" s="161">
        <f t="shared" si="0"/>
        <v>193400</v>
      </c>
      <c r="K31" s="882">
        <f t="shared" si="0"/>
        <v>0</v>
      </c>
      <c r="L31" s="166">
        <f t="shared" si="0"/>
        <v>0</v>
      </c>
      <c r="M31" s="161">
        <f t="shared" si="0"/>
        <v>193400</v>
      </c>
      <c r="N31" s="883"/>
      <c r="O31" s="884"/>
      <c r="P31" s="883"/>
      <c r="Q31" s="95"/>
      <c r="S31" s="389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2"/>
    </row>
    <row r="32" spans="1:32" ht="8.1" customHeight="1">
      <c r="B32" s="94"/>
      <c r="C32" s="29"/>
      <c r="D32" s="29"/>
      <c r="E32" s="29"/>
      <c r="F32" s="29"/>
      <c r="G32" s="29"/>
      <c r="H32" s="29"/>
      <c r="I32" s="29"/>
      <c r="J32" s="29"/>
      <c r="K32" s="29"/>
      <c r="L32" s="1"/>
      <c r="M32" s="1"/>
      <c r="N32" s="1"/>
      <c r="O32" s="1"/>
      <c r="P32" s="1"/>
      <c r="Q32" s="95"/>
      <c r="S32" s="389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2"/>
    </row>
    <row r="33" spans="2:32" ht="23.1" customHeight="1">
      <c r="B33" s="105"/>
      <c r="C33" s="1218" t="s">
        <v>445</v>
      </c>
      <c r="D33" s="1219"/>
      <c r="E33" s="1219"/>
      <c r="F33" s="860">
        <f>G33+H33</f>
        <v>0</v>
      </c>
      <c r="G33" s="838"/>
      <c r="H33" s="854"/>
      <c r="I33" s="860">
        <f>+J33+K33</f>
        <v>-8000</v>
      </c>
      <c r="J33" s="838">
        <v>-8000</v>
      </c>
      <c r="K33" s="854"/>
      <c r="L33" s="204"/>
      <c r="M33" s="204"/>
      <c r="N33" s="139"/>
      <c r="O33" s="139"/>
      <c r="P33" s="139"/>
      <c r="Q33" s="95"/>
      <c r="S33" s="389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2"/>
    </row>
    <row r="34" spans="2:32" ht="23.1" customHeight="1" thickBot="1">
      <c r="B34" s="105"/>
      <c r="C34" s="148" t="s">
        <v>446</v>
      </c>
      <c r="D34" s="149"/>
      <c r="E34" s="880"/>
      <c r="F34" s="861">
        <f>G34+H34</f>
        <v>1234558.4200000002</v>
      </c>
      <c r="G34" s="161">
        <f>+G19+G31+G33</f>
        <v>1218595.1200000001</v>
      </c>
      <c r="H34" s="882">
        <f>+H19+H31+H33</f>
        <v>15963.3</v>
      </c>
      <c r="I34" s="862">
        <f>J34+K34</f>
        <v>1419958.4200000002</v>
      </c>
      <c r="J34" s="161">
        <f>J19+J31+SUM(J33:J33)</f>
        <v>1403995.12</v>
      </c>
      <c r="K34" s="882">
        <f>K19+K31+SUM(K33:K33)</f>
        <v>15963.3</v>
      </c>
      <c r="L34" s="203"/>
      <c r="M34" s="203"/>
      <c r="N34" s="139"/>
      <c r="O34" s="139"/>
      <c r="P34" s="139"/>
      <c r="Q34" s="95"/>
      <c r="S34" s="389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2"/>
    </row>
    <row r="35" spans="2:32" ht="23.1" customHeight="1">
      <c r="B35" s="105"/>
      <c r="C35" s="138"/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95"/>
      <c r="S35" s="389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2"/>
    </row>
    <row r="36" spans="2:32" ht="23.1" customHeight="1">
      <c r="B36" s="105"/>
      <c r="C36" s="19" t="s">
        <v>713</v>
      </c>
      <c r="D36" s="138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95"/>
      <c r="S36" s="389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2"/>
    </row>
    <row r="37" spans="2:32" ht="36" customHeight="1">
      <c r="B37" s="105"/>
      <c r="C37" s="1205" t="s">
        <v>792</v>
      </c>
      <c r="D37" s="1206"/>
      <c r="E37" s="1209"/>
      <c r="F37" s="1208"/>
      <c r="G37" s="1203" t="s">
        <v>799</v>
      </c>
      <c r="H37" s="1204"/>
      <c r="I37" s="1203" t="s">
        <v>800</v>
      </c>
      <c r="J37" s="1204"/>
      <c r="K37" s="802"/>
      <c r="L37" s="802"/>
      <c r="M37" s="802"/>
      <c r="N37" s="139"/>
      <c r="O37" s="139"/>
      <c r="P37" s="139"/>
      <c r="Q37" s="95"/>
      <c r="S37" s="389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2"/>
    </row>
    <row r="38" spans="2:32" ht="23.1" customHeight="1">
      <c r="B38" s="105"/>
      <c r="C38" s="1214" t="s">
        <v>793</v>
      </c>
      <c r="D38" s="1215"/>
      <c r="E38" s="1200" t="s">
        <v>439</v>
      </c>
      <c r="F38" s="1201"/>
      <c r="G38" s="802">
        <f>ejercicio-1</f>
        <v>2018</v>
      </c>
      <c r="H38" s="802">
        <f>ejercicio</f>
        <v>2019</v>
      </c>
      <c r="I38" s="802">
        <f>ejercicio-1</f>
        <v>2018</v>
      </c>
      <c r="J38" s="802">
        <f>ejercicio</f>
        <v>2019</v>
      </c>
      <c r="K38" s="802" t="s">
        <v>441</v>
      </c>
      <c r="L38" s="802" t="s">
        <v>443</v>
      </c>
      <c r="M38" s="802" t="s">
        <v>442</v>
      </c>
      <c r="N38" s="139"/>
      <c r="O38" s="139"/>
      <c r="P38" s="139"/>
      <c r="Q38" s="95"/>
      <c r="S38" s="389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2"/>
    </row>
    <row r="39" spans="2:32" ht="23.1" customHeight="1">
      <c r="B39" s="105"/>
      <c r="C39" s="885"/>
      <c r="D39" s="539"/>
      <c r="E39" s="1220"/>
      <c r="F39" s="1221"/>
      <c r="G39" s="462"/>
      <c r="H39" s="491"/>
      <c r="I39" s="794"/>
      <c r="J39" s="794"/>
      <c r="K39" s="744"/>
      <c r="L39" s="744"/>
      <c r="M39" s="745"/>
      <c r="N39" s="837"/>
      <c r="O39" s="837"/>
      <c r="P39" s="837"/>
      <c r="Q39" s="95"/>
      <c r="S39" s="389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2"/>
    </row>
    <row r="40" spans="2:32" ht="23.1" customHeight="1">
      <c r="B40" s="105"/>
      <c r="C40" s="1076" t="s">
        <v>1039</v>
      </c>
      <c r="D40" s="541"/>
      <c r="E40" s="1194" t="s">
        <v>1043</v>
      </c>
      <c r="F40" s="1195"/>
      <c r="G40" s="473">
        <v>300000</v>
      </c>
      <c r="H40" s="493">
        <v>300000</v>
      </c>
      <c r="I40" s="795"/>
      <c r="J40" s="795">
        <f t="shared" ref="J40:J48" si="1">+H40</f>
        <v>300000</v>
      </c>
      <c r="K40" s="1103" t="s">
        <v>1069</v>
      </c>
      <c r="L40" s="1103">
        <v>3331</v>
      </c>
      <c r="M40" s="1104">
        <v>44981</v>
      </c>
      <c r="N40" s="837"/>
      <c r="O40" s="837"/>
      <c r="P40" s="837"/>
      <c r="Q40" s="95"/>
      <c r="S40" s="389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2"/>
    </row>
    <row r="41" spans="2:32" ht="23.1" customHeight="1">
      <c r="B41" s="105"/>
      <c r="C41" s="1076" t="s">
        <v>1034</v>
      </c>
      <c r="D41" s="541"/>
      <c r="E41" s="1194" t="s">
        <v>1043</v>
      </c>
      <c r="F41" s="1195"/>
      <c r="G41" s="473">
        <v>150000</v>
      </c>
      <c r="H41" s="493">
        <v>210000</v>
      </c>
      <c r="I41" s="795"/>
      <c r="J41" s="795">
        <f t="shared" si="1"/>
        <v>210000</v>
      </c>
      <c r="K41" s="1103" t="s">
        <v>1069</v>
      </c>
      <c r="L41" s="1103">
        <v>3331</v>
      </c>
      <c r="M41" s="1104">
        <v>44981</v>
      </c>
      <c r="N41" s="837"/>
      <c r="O41" s="837"/>
      <c r="P41" s="837"/>
      <c r="Q41" s="95"/>
      <c r="S41" s="389"/>
      <c r="T41" s="391"/>
      <c r="U41" s="391"/>
      <c r="V41" s="391"/>
      <c r="W41" s="391"/>
      <c r="X41" s="391"/>
      <c r="Y41" s="391"/>
      <c r="Z41" s="391"/>
      <c r="AA41" s="391"/>
      <c r="AB41" s="391"/>
      <c r="AC41" s="391"/>
      <c r="AD41" s="391"/>
      <c r="AE41" s="391"/>
      <c r="AF41" s="392"/>
    </row>
    <row r="42" spans="2:32" ht="23.1" customHeight="1">
      <c r="B42" s="105"/>
      <c r="C42" s="1076" t="s">
        <v>1040</v>
      </c>
      <c r="D42" s="541"/>
      <c r="E42" s="1194" t="s">
        <v>1043</v>
      </c>
      <c r="F42" s="1195"/>
      <c r="G42" s="473">
        <v>557175.42000000004</v>
      </c>
      <c r="H42" s="493">
        <v>557175.42000000004</v>
      </c>
      <c r="I42" s="795"/>
      <c r="J42" s="795">
        <f t="shared" si="1"/>
        <v>557175.42000000004</v>
      </c>
      <c r="K42" s="1103" t="s">
        <v>1069</v>
      </c>
      <c r="L42" s="1103">
        <v>3331</v>
      </c>
      <c r="M42" s="1104">
        <v>44981</v>
      </c>
      <c r="N42" s="837"/>
      <c r="O42" s="837"/>
      <c r="P42" s="837"/>
      <c r="Q42" s="95"/>
      <c r="S42" s="389"/>
      <c r="T42" s="391"/>
      <c r="U42" s="391"/>
      <c r="V42" s="391"/>
      <c r="W42" s="391"/>
      <c r="X42" s="391"/>
      <c r="Y42" s="391"/>
      <c r="Z42" s="391"/>
      <c r="AA42" s="391"/>
      <c r="AB42" s="391"/>
      <c r="AC42" s="391"/>
      <c r="AD42" s="391"/>
      <c r="AE42" s="391"/>
      <c r="AF42" s="392"/>
    </row>
    <row r="43" spans="2:32" ht="23.1" customHeight="1">
      <c r="B43" s="105"/>
      <c r="C43" s="1076" t="s">
        <v>1035</v>
      </c>
      <c r="D43" s="541"/>
      <c r="E43" s="1194" t="s">
        <v>1043</v>
      </c>
      <c r="F43" s="1195"/>
      <c r="G43" s="466">
        <v>144757.76000000001</v>
      </c>
      <c r="H43" s="494">
        <v>144757.76000000001</v>
      </c>
      <c r="I43" s="796"/>
      <c r="J43" s="796">
        <f t="shared" si="1"/>
        <v>144757.76000000001</v>
      </c>
      <c r="K43" s="1103" t="s">
        <v>1069</v>
      </c>
      <c r="L43" s="1103">
        <v>3331</v>
      </c>
      <c r="M43" s="1104">
        <v>44981</v>
      </c>
      <c r="N43" s="837"/>
      <c r="O43" s="837"/>
      <c r="P43" s="837"/>
      <c r="Q43" s="95"/>
      <c r="S43" s="389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2"/>
    </row>
    <row r="44" spans="2:32" ht="23.1" customHeight="1">
      <c r="B44" s="105"/>
      <c r="C44" s="1076" t="s">
        <v>1036</v>
      </c>
      <c r="D44" s="541"/>
      <c r="E44" s="1194" t="s">
        <v>1043</v>
      </c>
      <c r="F44" s="1195"/>
      <c r="G44" s="466">
        <f>76000+120000</f>
        <v>196000</v>
      </c>
      <c r="H44" s="494">
        <v>138999</v>
      </c>
      <c r="I44" s="796"/>
      <c r="J44" s="796">
        <f t="shared" si="1"/>
        <v>138999</v>
      </c>
      <c r="K44" s="1103" t="s">
        <v>1075</v>
      </c>
      <c r="L44" s="1103" t="s">
        <v>1076</v>
      </c>
      <c r="M44" s="1104">
        <v>44981</v>
      </c>
      <c r="N44" s="837"/>
      <c r="O44" s="837"/>
      <c r="P44" s="837"/>
      <c r="Q44" s="95"/>
      <c r="S44" s="389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2"/>
    </row>
    <row r="45" spans="2:32" ht="23.1" customHeight="1">
      <c r="B45" s="105"/>
      <c r="C45" s="1076" t="s">
        <v>1041</v>
      </c>
      <c r="D45" s="541"/>
      <c r="E45" s="1194" t="s">
        <v>1043</v>
      </c>
      <c r="F45" s="1195"/>
      <c r="G45" s="466">
        <v>77940.929999999993</v>
      </c>
      <c r="H45" s="494">
        <v>77940.929999999993</v>
      </c>
      <c r="I45" s="796"/>
      <c r="J45" s="796">
        <f t="shared" si="1"/>
        <v>77940.929999999993</v>
      </c>
      <c r="K45" s="1103" t="s">
        <v>1077</v>
      </c>
      <c r="L45" s="1103" t="s">
        <v>1078</v>
      </c>
      <c r="M45" s="1104">
        <v>44981</v>
      </c>
      <c r="N45" s="837"/>
      <c r="O45" s="837"/>
      <c r="P45" s="837"/>
      <c r="Q45" s="95"/>
      <c r="S45" s="389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2"/>
    </row>
    <row r="46" spans="2:32" ht="23.1" customHeight="1">
      <c r="B46" s="105"/>
      <c r="C46" s="1076" t="s">
        <v>1037</v>
      </c>
      <c r="D46" s="541"/>
      <c r="E46" s="1194" t="s">
        <v>1043</v>
      </c>
      <c r="F46" s="1195"/>
      <c r="G46" s="475">
        <v>50000</v>
      </c>
      <c r="H46" s="495">
        <v>55000</v>
      </c>
      <c r="I46" s="797"/>
      <c r="J46" s="797">
        <f t="shared" si="1"/>
        <v>55000</v>
      </c>
      <c r="K46" s="1103" t="s">
        <v>1069</v>
      </c>
      <c r="L46" s="1103">
        <v>3331</v>
      </c>
      <c r="M46" s="1104">
        <v>44981</v>
      </c>
      <c r="N46" s="837"/>
      <c r="O46" s="837"/>
      <c r="P46" s="837"/>
      <c r="Q46" s="95"/>
      <c r="S46" s="389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2"/>
    </row>
    <row r="47" spans="2:32" ht="29.1" customHeight="1">
      <c r="B47" s="105"/>
      <c r="C47" s="1076" t="s">
        <v>1042</v>
      </c>
      <c r="D47" s="541"/>
      <c r="E47" s="1194" t="s">
        <v>1043</v>
      </c>
      <c r="F47" s="1195"/>
      <c r="G47" s="475">
        <v>91010.64</v>
      </c>
      <c r="H47" s="495">
        <v>91010.64</v>
      </c>
      <c r="I47" s="797"/>
      <c r="J47" s="797">
        <f t="shared" si="1"/>
        <v>91010.64</v>
      </c>
      <c r="K47" s="1103" t="s">
        <v>1069</v>
      </c>
      <c r="L47" s="1103">
        <v>3331</v>
      </c>
      <c r="M47" s="1104">
        <v>44981</v>
      </c>
      <c r="N47" s="837"/>
      <c r="O47" s="837"/>
      <c r="P47" s="837"/>
      <c r="Q47" s="95"/>
      <c r="S47" s="389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2"/>
    </row>
    <row r="48" spans="2:32" ht="29.1" customHeight="1">
      <c r="B48" s="105"/>
      <c r="C48" s="1094" t="s">
        <v>1038</v>
      </c>
      <c r="D48" s="1095"/>
      <c r="E48" s="1194" t="s">
        <v>1043</v>
      </c>
      <c r="F48" s="1195"/>
      <c r="G48" s="475">
        <v>250000</v>
      </c>
      <c r="H48" s="495">
        <v>250000</v>
      </c>
      <c r="I48" s="797"/>
      <c r="J48" s="797">
        <f t="shared" si="1"/>
        <v>250000</v>
      </c>
      <c r="K48" s="1103" t="s">
        <v>1069</v>
      </c>
      <c r="L48" s="1103">
        <v>3331</v>
      </c>
      <c r="M48" s="1104">
        <v>44981</v>
      </c>
      <c r="N48" s="837"/>
      <c r="O48" s="837"/>
      <c r="P48" s="837"/>
      <c r="Q48" s="95"/>
      <c r="S48" s="389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2"/>
    </row>
    <row r="49" spans="2:32" ht="29.1" customHeight="1">
      <c r="B49" s="105"/>
      <c r="C49" s="1094" t="s">
        <v>1044</v>
      </c>
      <c r="D49" s="1095"/>
      <c r="E49" s="1097" t="s">
        <v>1043</v>
      </c>
      <c r="F49" s="1096"/>
      <c r="G49" s="475">
        <v>50000</v>
      </c>
      <c r="H49" s="495"/>
      <c r="I49" s="797"/>
      <c r="J49" s="797"/>
      <c r="K49" s="1103" t="s">
        <v>1069</v>
      </c>
      <c r="L49" s="1106">
        <v>3331</v>
      </c>
      <c r="M49" s="1107">
        <v>74301</v>
      </c>
      <c r="N49" s="837"/>
      <c r="O49" s="837"/>
      <c r="P49" s="837"/>
      <c r="Q49" s="95"/>
      <c r="S49" s="389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2"/>
    </row>
    <row r="50" spans="2:32" ht="29.1" customHeight="1">
      <c r="B50" s="105"/>
      <c r="C50" s="1098" t="s">
        <v>1045</v>
      </c>
      <c r="D50" s="543"/>
      <c r="E50" s="1196" t="s">
        <v>1046</v>
      </c>
      <c r="F50" s="1197"/>
      <c r="G50" s="470">
        <v>1308.6400000000001</v>
      </c>
      <c r="H50" s="496"/>
      <c r="I50" s="797"/>
      <c r="J50" s="797"/>
      <c r="K50" s="1103"/>
      <c r="L50" s="1108"/>
      <c r="M50" s="1109"/>
      <c r="N50" s="837"/>
      <c r="O50" s="837"/>
      <c r="P50" s="837"/>
      <c r="Q50" s="95"/>
      <c r="S50" s="389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2"/>
    </row>
    <row r="51" spans="2:32" ht="23.1" customHeight="1">
      <c r="B51" s="105"/>
      <c r="C51" s="1100"/>
      <c r="D51" s="1100"/>
      <c r="E51" s="1057"/>
      <c r="F51" s="1057"/>
      <c r="G51" s="1057"/>
      <c r="H51" s="1057"/>
      <c r="I51" s="798"/>
      <c r="J51" s="798"/>
      <c r="K51" s="752"/>
      <c r="L51" s="752"/>
      <c r="M51" s="753"/>
      <c r="N51" s="837"/>
      <c r="O51" s="837"/>
      <c r="P51" s="837"/>
      <c r="Q51" s="95"/>
      <c r="S51" s="389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2"/>
    </row>
    <row r="52" spans="2:32" ht="23.1" customHeight="1" thickBot="1">
      <c r="B52" s="105"/>
      <c r="C52" s="1222" t="s">
        <v>444</v>
      </c>
      <c r="D52" s="1223"/>
      <c r="E52" s="1223"/>
      <c r="F52" s="1224"/>
      <c r="G52" s="161">
        <f>SUM(G39:G50)</f>
        <v>1868193.39</v>
      </c>
      <c r="H52" s="161">
        <f>SUM(H39:H50)</f>
        <v>1824883.7499999998</v>
      </c>
      <c r="I52" s="161">
        <f t="shared" ref="I52:J52" si="2">SUM(I39:I51)</f>
        <v>0</v>
      </c>
      <c r="J52" s="161">
        <f t="shared" si="2"/>
        <v>1824883.7499999998</v>
      </c>
      <c r="K52" s="201"/>
      <c r="L52" s="139"/>
      <c r="M52" s="139"/>
      <c r="N52" s="139"/>
      <c r="O52" s="139"/>
      <c r="P52" s="139"/>
      <c r="Q52" s="95"/>
      <c r="S52" s="389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2"/>
    </row>
    <row r="53" spans="2:32" ht="23.1" customHeight="1">
      <c r="B53" s="105"/>
      <c r="C53" s="202"/>
      <c r="D53" s="202"/>
      <c r="E53" s="203"/>
      <c r="F53" s="203"/>
      <c r="G53" s="204"/>
      <c r="H53" s="204"/>
      <c r="I53" s="204"/>
      <c r="J53" s="204"/>
      <c r="K53" s="203"/>
      <c r="L53" s="203"/>
      <c r="M53" s="205"/>
      <c r="N53" s="205"/>
      <c r="O53" s="205"/>
      <c r="P53" s="205"/>
      <c r="Q53" s="95"/>
      <c r="S53" s="389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2"/>
    </row>
    <row r="54" spans="2:32" s="104" customFormat="1" ht="30" customHeight="1">
      <c r="B54" s="100"/>
      <c r="C54" s="55" t="s">
        <v>714</v>
      </c>
      <c r="D54" s="19"/>
      <c r="E54" s="87"/>
      <c r="F54" s="87"/>
      <c r="G54" s="87"/>
      <c r="H54" s="87"/>
      <c r="I54" s="87"/>
      <c r="J54" s="87"/>
      <c r="K54" s="87"/>
      <c r="L54" s="87"/>
      <c r="M54" s="87"/>
      <c r="N54" s="205"/>
      <c r="O54" s="205"/>
      <c r="P54" s="205"/>
      <c r="Q54" s="103"/>
      <c r="S54" s="389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2"/>
    </row>
    <row r="55" spans="2:32" s="104" customFormat="1" ht="30" customHeight="1">
      <c r="B55" s="100"/>
      <c r="C55" s="1205" t="s">
        <v>792</v>
      </c>
      <c r="D55" s="1206"/>
      <c r="E55" s="1209"/>
      <c r="F55" s="1208"/>
      <c r="G55" s="1203" t="s">
        <v>801</v>
      </c>
      <c r="H55" s="1204"/>
      <c r="I55" s="1203" t="s">
        <v>802</v>
      </c>
      <c r="J55" s="1204"/>
      <c r="K55" s="802"/>
      <c r="L55" s="802"/>
      <c r="M55" s="802"/>
      <c r="N55" s="205"/>
      <c r="O55" s="205"/>
      <c r="P55" s="205"/>
      <c r="Q55" s="103"/>
      <c r="S55" s="389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2"/>
    </row>
    <row r="56" spans="2:32" ht="23.1" customHeight="1">
      <c r="B56" s="105"/>
      <c r="C56" s="1214" t="s">
        <v>793</v>
      </c>
      <c r="D56" s="1215"/>
      <c r="E56" s="1200" t="s">
        <v>439</v>
      </c>
      <c r="F56" s="1201"/>
      <c r="G56" s="802">
        <f>ejercicio-1</f>
        <v>2018</v>
      </c>
      <c r="H56" s="802">
        <f>ejercicio</f>
        <v>2019</v>
      </c>
      <c r="I56" s="802">
        <f>ejercicio-1</f>
        <v>2018</v>
      </c>
      <c r="J56" s="802">
        <f>ejercicio</f>
        <v>2019</v>
      </c>
      <c r="K56" s="802" t="s">
        <v>441</v>
      </c>
      <c r="L56" s="802" t="s">
        <v>443</v>
      </c>
      <c r="M56" s="802" t="s">
        <v>442</v>
      </c>
      <c r="N56" s="205"/>
      <c r="O56" s="205"/>
      <c r="P56" s="205"/>
      <c r="Q56" s="95"/>
      <c r="S56" s="389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2"/>
    </row>
    <row r="57" spans="2:32" ht="23.1" customHeight="1">
      <c r="B57" s="105"/>
      <c r="C57" s="885"/>
      <c r="D57" s="539"/>
      <c r="E57" s="1220"/>
      <c r="F57" s="1221"/>
      <c r="G57" s="462"/>
      <c r="H57" s="491"/>
      <c r="I57" s="794"/>
      <c r="J57" s="794"/>
      <c r="K57" s="744"/>
      <c r="L57" s="744"/>
      <c r="M57" s="745"/>
      <c r="N57" s="205"/>
      <c r="O57" s="205"/>
      <c r="P57" s="205"/>
      <c r="Q57" s="95"/>
      <c r="S57" s="389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2"/>
    </row>
    <row r="58" spans="2:32" ht="23.1" customHeight="1">
      <c r="B58" s="105"/>
      <c r="C58" s="1076" t="s">
        <v>1047</v>
      </c>
      <c r="D58" s="541"/>
      <c r="E58" s="1194" t="s">
        <v>1048</v>
      </c>
      <c r="F58" s="1225"/>
      <c r="G58" s="473">
        <v>1353250.7</v>
      </c>
      <c r="H58" s="493">
        <v>1380732.18</v>
      </c>
      <c r="I58" s="795"/>
      <c r="J58" s="795">
        <f>+H58</f>
        <v>1380732.18</v>
      </c>
      <c r="K58" s="1103" t="s">
        <v>1069</v>
      </c>
      <c r="L58" s="1103" t="s">
        <v>1070</v>
      </c>
      <c r="M58" s="1105" t="s">
        <v>1071</v>
      </c>
      <c r="N58" s="205"/>
      <c r="O58" s="205"/>
      <c r="P58" s="205"/>
      <c r="Q58" s="95"/>
      <c r="S58" s="389"/>
      <c r="T58" s="391"/>
      <c r="U58" s="391"/>
      <c r="V58" s="391"/>
      <c r="W58" s="391"/>
      <c r="X58" s="391"/>
      <c r="Y58" s="391"/>
      <c r="Z58" s="391"/>
      <c r="AA58" s="391"/>
      <c r="AB58" s="391"/>
      <c r="AC58" s="391"/>
      <c r="AD58" s="391"/>
      <c r="AE58" s="391"/>
      <c r="AF58" s="392"/>
    </row>
    <row r="59" spans="2:32" ht="23.1" customHeight="1">
      <c r="B59" s="105"/>
      <c r="C59" s="540"/>
      <c r="D59" s="541"/>
      <c r="E59" s="1226"/>
      <c r="F59" s="1227"/>
      <c r="G59" s="473"/>
      <c r="H59" s="493"/>
      <c r="I59" s="795"/>
      <c r="J59" s="795"/>
      <c r="K59" s="746"/>
      <c r="L59" s="746"/>
      <c r="M59" s="747"/>
      <c r="N59" s="837"/>
      <c r="O59" s="837"/>
      <c r="P59" s="837"/>
      <c r="Q59" s="95"/>
      <c r="S59" s="389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2"/>
    </row>
    <row r="60" spans="2:32" ht="23.1" customHeight="1">
      <c r="B60" s="105"/>
      <c r="C60" s="540"/>
      <c r="D60" s="541"/>
      <c r="E60" s="1226"/>
      <c r="F60" s="1227"/>
      <c r="G60" s="473"/>
      <c r="H60" s="493"/>
      <c r="I60" s="795"/>
      <c r="J60" s="795"/>
      <c r="K60" s="746"/>
      <c r="L60" s="746"/>
      <c r="M60" s="747"/>
      <c r="N60" s="837"/>
      <c r="O60" s="837"/>
      <c r="P60" s="837"/>
      <c r="Q60" s="95"/>
      <c r="S60" s="389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2"/>
    </row>
    <row r="61" spans="2:32" ht="23.1" customHeight="1">
      <c r="B61" s="105"/>
      <c r="C61" s="540"/>
      <c r="D61" s="541"/>
      <c r="E61" s="1226"/>
      <c r="F61" s="1227"/>
      <c r="G61" s="466"/>
      <c r="H61" s="494"/>
      <c r="I61" s="796"/>
      <c r="J61" s="796"/>
      <c r="K61" s="748"/>
      <c r="L61" s="748"/>
      <c r="M61" s="749"/>
      <c r="N61" s="837"/>
      <c r="O61" s="837"/>
      <c r="P61" s="837"/>
      <c r="Q61" s="95"/>
      <c r="S61" s="389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2"/>
    </row>
    <row r="62" spans="2:32" ht="23.1" customHeight="1">
      <c r="B62" s="105"/>
      <c r="C62" s="540"/>
      <c r="D62" s="541"/>
      <c r="E62" s="1226"/>
      <c r="F62" s="1227"/>
      <c r="G62" s="466"/>
      <c r="H62" s="494"/>
      <c r="I62" s="796"/>
      <c r="J62" s="796"/>
      <c r="K62" s="748"/>
      <c r="L62" s="748"/>
      <c r="M62" s="749"/>
      <c r="N62" s="837"/>
      <c r="O62" s="837"/>
      <c r="P62" s="837"/>
      <c r="Q62" s="95"/>
      <c r="S62" s="389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2"/>
    </row>
    <row r="63" spans="2:32" ht="23.1" customHeight="1">
      <c r="B63" s="105"/>
      <c r="C63" s="540"/>
      <c r="D63" s="541"/>
      <c r="E63" s="1228"/>
      <c r="F63" s="1225"/>
      <c r="G63" s="466"/>
      <c r="H63" s="494"/>
      <c r="I63" s="796"/>
      <c r="J63" s="796"/>
      <c r="K63" s="748"/>
      <c r="L63" s="748"/>
      <c r="M63" s="749"/>
      <c r="N63" s="837"/>
      <c r="O63" s="837"/>
      <c r="P63" s="837"/>
      <c r="Q63" s="95"/>
      <c r="S63" s="389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2"/>
    </row>
    <row r="64" spans="2:32" ht="23.1" customHeight="1">
      <c r="B64" s="105"/>
      <c r="C64" s="540"/>
      <c r="D64" s="541"/>
      <c r="E64" s="1228"/>
      <c r="F64" s="1225"/>
      <c r="G64" s="475"/>
      <c r="H64" s="495"/>
      <c r="I64" s="797"/>
      <c r="J64" s="797"/>
      <c r="K64" s="750"/>
      <c r="L64" s="750"/>
      <c r="M64" s="751"/>
      <c r="N64" s="837"/>
      <c r="O64" s="837"/>
      <c r="P64" s="837"/>
      <c r="Q64" s="95"/>
      <c r="S64" s="389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2"/>
    </row>
    <row r="65" spans="2:32" ht="23.1" customHeight="1">
      <c r="B65" s="105"/>
      <c r="C65" s="540"/>
      <c r="D65" s="541"/>
      <c r="E65" s="1228"/>
      <c r="F65" s="1225"/>
      <c r="G65" s="475"/>
      <c r="H65" s="495"/>
      <c r="I65" s="797"/>
      <c r="J65" s="797"/>
      <c r="K65" s="750"/>
      <c r="L65" s="750"/>
      <c r="M65" s="751"/>
      <c r="N65" s="837"/>
      <c r="O65" s="837"/>
      <c r="P65" s="837"/>
      <c r="Q65" s="95"/>
      <c r="S65" s="389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2"/>
    </row>
    <row r="66" spans="2:32" ht="23.1" customHeight="1">
      <c r="B66" s="105"/>
      <c r="C66" s="542"/>
      <c r="D66" s="543"/>
      <c r="E66" s="1229"/>
      <c r="F66" s="1197"/>
      <c r="G66" s="470"/>
      <c r="H66" s="496"/>
      <c r="I66" s="798"/>
      <c r="J66" s="798"/>
      <c r="K66" s="752"/>
      <c r="L66" s="752"/>
      <c r="M66" s="753"/>
      <c r="N66" s="837"/>
      <c r="O66" s="837"/>
      <c r="P66" s="837"/>
      <c r="Q66" s="95"/>
      <c r="S66" s="389"/>
      <c r="T66" s="391"/>
      <c r="U66" s="391"/>
      <c r="V66" s="391"/>
      <c r="W66" s="391"/>
      <c r="X66" s="391"/>
      <c r="Y66" s="391"/>
      <c r="Z66" s="391"/>
      <c r="AA66" s="391"/>
      <c r="AB66" s="391"/>
      <c r="AC66" s="391"/>
      <c r="AD66" s="391"/>
      <c r="AE66" s="391"/>
      <c r="AF66" s="392"/>
    </row>
    <row r="67" spans="2:32" ht="23.1" customHeight="1" thickBot="1">
      <c r="B67" s="105"/>
      <c r="C67" s="1222" t="s">
        <v>444</v>
      </c>
      <c r="D67" s="1223"/>
      <c r="E67" s="1223"/>
      <c r="F67" s="1224"/>
      <c r="G67" s="161">
        <f>SUM(G57:G66)</f>
        <v>1353250.7</v>
      </c>
      <c r="H67" s="161">
        <f>SUM(H57:H66)</f>
        <v>1380732.18</v>
      </c>
      <c r="I67" s="161">
        <f t="shared" ref="I67:J67" si="3">SUM(I57:I66)</f>
        <v>0</v>
      </c>
      <c r="J67" s="161">
        <f t="shared" si="3"/>
        <v>1380732.18</v>
      </c>
      <c r="K67" s="201"/>
      <c r="L67" s="139"/>
      <c r="M67" s="139"/>
      <c r="N67" s="139"/>
      <c r="O67" s="139"/>
      <c r="P67" s="139"/>
      <c r="Q67" s="95"/>
      <c r="S67" s="389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2"/>
    </row>
    <row r="68" spans="2:32" ht="23.1" customHeight="1">
      <c r="B68" s="105"/>
      <c r="C68" s="202"/>
      <c r="D68" s="202"/>
      <c r="E68" s="203"/>
      <c r="F68" s="203"/>
      <c r="G68" s="204"/>
      <c r="H68" s="204"/>
      <c r="I68" s="204"/>
      <c r="J68" s="204"/>
      <c r="K68" s="203"/>
      <c r="L68" s="203"/>
      <c r="M68" s="205"/>
      <c r="N68" s="205"/>
      <c r="O68" s="205"/>
      <c r="P68" s="205"/>
      <c r="Q68" s="95"/>
      <c r="S68" s="389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2"/>
    </row>
    <row r="69" spans="2:32" s="104" customFormat="1" ht="30" customHeight="1">
      <c r="B69" s="100"/>
      <c r="C69" s="55" t="s">
        <v>815</v>
      </c>
      <c r="D69" s="19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103"/>
      <c r="S69" s="389"/>
      <c r="T69" s="391"/>
      <c r="U69" s="391"/>
      <c r="V69" s="391"/>
      <c r="W69" s="391"/>
      <c r="X69" s="391"/>
      <c r="Y69" s="391"/>
      <c r="Z69" s="391"/>
      <c r="AA69" s="391"/>
      <c r="AB69" s="391"/>
      <c r="AC69" s="391"/>
      <c r="AD69" s="391"/>
      <c r="AE69" s="391"/>
      <c r="AF69" s="392"/>
    </row>
    <row r="70" spans="2:32" ht="23.1" customHeight="1">
      <c r="B70" s="105"/>
      <c r="C70" s="1180" t="s">
        <v>792</v>
      </c>
      <c r="D70" s="1182"/>
      <c r="E70" s="1203" t="s">
        <v>439</v>
      </c>
      <c r="F70" s="1204"/>
      <c r="G70" s="802">
        <f>ejercicio-1</f>
        <v>2018</v>
      </c>
      <c r="H70" s="802">
        <f>ejercicio</f>
        <v>2019</v>
      </c>
      <c r="I70" s="802" t="s">
        <v>441</v>
      </c>
      <c r="J70" s="802" t="s">
        <v>443</v>
      </c>
      <c r="K70" s="802" t="s">
        <v>442</v>
      </c>
      <c r="L70" s="88"/>
      <c r="M70" s="88"/>
      <c r="N70" s="88"/>
      <c r="O70" s="88"/>
      <c r="P70" s="88"/>
      <c r="Q70" s="95"/>
      <c r="S70" s="389"/>
      <c r="T70" s="391"/>
      <c r="U70" s="391"/>
      <c r="V70" s="391"/>
      <c r="W70" s="391"/>
      <c r="X70" s="391"/>
      <c r="Y70" s="391"/>
      <c r="Z70" s="391"/>
      <c r="AA70" s="391"/>
      <c r="AB70" s="391"/>
      <c r="AC70" s="391"/>
      <c r="AD70" s="391"/>
      <c r="AE70" s="391"/>
      <c r="AF70" s="392"/>
    </row>
    <row r="71" spans="2:32" ht="23.1" customHeight="1">
      <c r="B71" s="105"/>
      <c r="C71" s="538"/>
      <c r="D71" s="539"/>
      <c r="E71" s="1228"/>
      <c r="F71" s="1225"/>
      <c r="G71" s="462"/>
      <c r="H71" s="491"/>
      <c r="I71" s="744"/>
      <c r="J71" s="744"/>
      <c r="K71" s="745"/>
      <c r="L71" s="88"/>
      <c r="M71" s="88"/>
      <c r="N71" s="88"/>
      <c r="O71" s="88"/>
      <c r="P71" s="88"/>
      <c r="Q71" s="95"/>
      <c r="S71" s="389"/>
      <c r="T71" s="391"/>
      <c r="U71" s="391"/>
      <c r="V71" s="391"/>
      <c r="W71" s="391"/>
      <c r="X71" s="391"/>
      <c r="Y71" s="391"/>
      <c r="Z71" s="391"/>
      <c r="AA71" s="391"/>
      <c r="AB71" s="391"/>
      <c r="AC71" s="391"/>
      <c r="AD71" s="391"/>
      <c r="AE71" s="391"/>
      <c r="AF71" s="392"/>
    </row>
    <row r="72" spans="2:32" ht="23.1" customHeight="1">
      <c r="B72" s="105"/>
      <c r="C72" s="540"/>
      <c r="D72" s="541"/>
      <c r="E72" s="1228"/>
      <c r="F72" s="1225"/>
      <c r="G72" s="473"/>
      <c r="H72" s="493"/>
      <c r="I72" s="746"/>
      <c r="J72" s="746"/>
      <c r="K72" s="747"/>
      <c r="L72" s="88"/>
      <c r="M72" s="88"/>
      <c r="N72" s="88"/>
      <c r="O72" s="88"/>
      <c r="P72" s="88"/>
      <c r="Q72" s="95"/>
      <c r="S72" s="389"/>
      <c r="T72" s="391"/>
      <c r="U72" s="391"/>
      <c r="V72" s="391"/>
      <c r="W72" s="391"/>
      <c r="X72" s="391"/>
      <c r="Y72" s="391"/>
      <c r="Z72" s="391"/>
      <c r="AA72" s="391"/>
      <c r="AB72" s="391"/>
      <c r="AC72" s="391"/>
      <c r="AD72" s="391"/>
      <c r="AE72" s="391"/>
      <c r="AF72" s="392"/>
    </row>
    <row r="73" spans="2:32" ht="23.1" customHeight="1">
      <c r="B73" s="105"/>
      <c r="C73" s="540"/>
      <c r="D73" s="541"/>
      <c r="E73" s="1228"/>
      <c r="F73" s="1225"/>
      <c r="G73" s="473"/>
      <c r="H73" s="493"/>
      <c r="I73" s="746"/>
      <c r="J73" s="746"/>
      <c r="K73" s="747"/>
      <c r="L73" s="88"/>
      <c r="M73" s="88"/>
      <c r="N73" s="88"/>
      <c r="O73" s="88"/>
      <c r="P73" s="88"/>
      <c r="Q73" s="95"/>
      <c r="S73" s="389"/>
      <c r="T73" s="391"/>
      <c r="U73" s="391"/>
      <c r="V73" s="391"/>
      <c r="W73" s="391"/>
      <c r="X73" s="391"/>
      <c r="Y73" s="391"/>
      <c r="Z73" s="391"/>
      <c r="AA73" s="391"/>
      <c r="AB73" s="391"/>
      <c r="AC73" s="391"/>
      <c r="AD73" s="391"/>
      <c r="AE73" s="391"/>
      <c r="AF73" s="392"/>
    </row>
    <row r="74" spans="2:32" ht="23.1" customHeight="1">
      <c r="B74" s="105"/>
      <c r="C74" s="540"/>
      <c r="D74" s="541"/>
      <c r="E74" s="1228"/>
      <c r="F74" s="1225"/>
      <c r="G74" s="473"/>
      <c r="H74" s="493"/>
      <c r="I74" s="746"/>
      <c r="J74" s="746"/>
      <c r="K74" s="747"/>
      <c r="L74" s="88"/>
      <c r="M74" s="88"/>
      <c r="N74" s="88"/>
      <c r="O74" s="88"/>
      <c r="P74" s="88"/>
      <c r="Q74" s="95"/>
      <c r="S74" s="389"/>
      <c r="T74" s="391"/>
      <c r="U74" s="391"/>
      <c r="V74" s="391"/>
      <c r="W74" s="391"/>
      <c r="X74" s="391"/>
      <c r="Y74" s="391"/>
      <c r="Z74" s="391"/>
      <c r="AA74" s="391"/>
      <c r="AB74" s="391"/>
      <c r="AC74" s="391"/>
      <c r="AD74" s="391"/>
      <c r="AE74" s="391"/>
      <c r="AF74" s="392"/>
    </row>
    <row r="75" spans="2:32" ht="23.1" customHeight="1">
      <c r="B75" s="105"/>
      <c r="C75" s="540"/>
      <c r="D75" s="541"/>
      <c r="E75" s="1228"/>
      <c r="F75" s="1225"/>
      <c r="G75" s="466"/>
      <c r="H75" s="494"/>
      <c r="I75" s="748"/>
      <c r="J75" s="748"/>
      <c r="K75" s="749"/>
      <c r="L75" s="88"/>
      <c r="M75" s="88"/>
      <c r="N75" s="88"/>
      <c r="O75" s="88"/>
      <c r="P75" s="88"/>
      <c r="Q75" s="95"/>
      <c r="S75" s="389"/>
      <c r="T75" s="391"/>
      <c r="U75" s="391"/>
      <c r="V75" s="391"/>
      <c r="W75" s="391"/>
      <c r="X75" s="391"/>
      <c r="Y75" s="391"/>
      <c r="Z75" s="391"/>
      <c r="AA75" s="391"/>
      <c r="AB75" s="391"/>
      <c r="AC75" s="391"/>
      <c r="AD75" s="391"/>
      <c r="AE75" s="391"/>
      <c r="AF75" s="392"/>
    </row>
    <row r="76" spans="2:32" ht="23.1" customHeight="1">
      <c r="B76" s="105"/>
      <c r="C76" s="540"/>
      <c r="D76" s="541"/>
      <c r="E76" s="1228"/>
      <c r="F76" s="1225"/>
      <c r="G76" s="466"/>
      <c r="H76" s="494"/>
      <c r="I76" s="748"/>
      <c r="J76" s="748"/>
      <c r="K76" s="749"/>
      <c r="L76" s="88"/>
      <c r="M76" s="88"/>
      <c r="N76" s="88"/>
      <c r="O76" s="88"/>
      <c r="P76" s="88"/>
      <c r="Q76" s="95"/>
      <c r="S76" s="389"/>
      <c r="T76" s="391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2"/>
    </row>
    <row r="77" spans="2:32" ht="23.1" customHeight="1">
      <c r="B77" s="105"/>
      <c r="C77" s="540"/>
      <c r="D77" s="541"/>
      <c r="E77" s="1228"/>
      <c r="F77" s="1225"/>
      <c r="G77" s="466"/>
      <c r="H77" s="494"/>
      <c r="I77" s="748"/>
      <c r="J77" s="748"/>
      <c r="K77" s="749"/>
      <c r="L77" s="88"/>
      <c r="M77" s="88"/>
      <c r="N77" s="88"/>
      <c r="O77" s="88"/>
      <c r="P77" s="88"/>
      <c r="Q77" s="95"/>
      <c r="S77" s="389"/>
      <c r="T77" s="391"/>
      <c r="U77" s="391"/>
      <c r="V77" s="391"/>
      <c r="W77" s="391"/>
      <c r="X77" s="391"/>
      <c r="Y77" s="391"/>
      <c r="Z77" s="391"/>
      <c r="AA77" s="391"/>
      <c r="AB77" s="391"/>
      <c r="AC77" s="391"/>
      <c r="AD77" s="391"/>
      <c r="AE77" s="391"/>
      <c r="AF77" s="392"/>
    </row>
    <row r="78" spans="2:32" ht="23.1" customHeight="1">
      <c r="B78" s="105"/>
      <c r="C78" s="540"/>
      <c r="D78" s="541"/>
      <c r="E78" s="1228"/>
      <c r="F78" s="1225"/>
      <c r="G78" s="475"/>
      <c r="H78" s="495"/>
      <c r="I78" s="750"/>
      <c r="J78" s="750"/>
      <c r="K78" s="751"/>
      <c r="L78" s="88"/>
      <c r="M78" s="88"/>
      <c r="N78" s="88"/>
      <c r="O78" s="88"/>
      <c r="P78" s="88"/>
      <c r="Q78" s="95"/>
      <c r="S78" s="389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2"/>
    </row>
    <row r="79" spans="2:32" ht="23.1" customHeight="1">
      <c r="B79" s="105"/>
      <c r="C79" s="540"/>
      <c r="D79" s="541"/>
      <c r="E79" s="1228"/>
      <c r="F79" s="1225"/>
      <c r="G79" s="475"/>
      <c r="H79" s="495"/>
      <c r="I79" s="750"/>
      <c r="J79" s="750"/>
      <c r="K79" s="751"/>
      <c r="L79" s="88"/>
      <c r="M79" s="88"/>
      <c r="N79" s="88"/>
      <c r="O79" s="88"/>
      <c r="P79" s="88"/>
      <c r="Q79" s="95"/>
      <c r="S79" s="389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2"/>
    </row>
    <row r="80" spans="2:32" ht="23.1" customHeight="1">
      <c r="B80" s="105"/>
      <c r="C80" s="542"/>
      <c r="D80" s="543"/>
      <c r="E80" s="1228"/>
      <c r="F80" s="1225"/>
      <c r="G80" s="470"/>
      <c r="H80" s="496"/>
      <c r="I80" s="752"/>
      <c r="J80" s="752"/>
      <c r="K80" s="753"/>
      <c r="L80" s="88"/>
      <c r="M80" s="88"/>
      <c r="N80" s="88"/>
      <c r="O80" s="88"/>
      <c r="P80" s="88"/>
      <c r="Q80" s="95"/>
      <c r="S80" s="389"/>
      <c r="T80" s="391"/>
      <c r="U80" s="391"/>
      <c r="V80" s="391"/>
      <c r="W80" s="391"/>
      <c r="X80" s="391"/>
      <c r="Y80" s="391"/>
      <c r="Z80" s="391"/>
      <c r="AA80" s="391"/>
      <c r="AB80" s="391"/>
      <c r="AC80" s="391"/>
      <c r="AD80" s="391"/>
      <c r="AE80" s="391"/>
      <c r="AF80" s="392"/>
    </row>
    <row r="81" spans="2:32" ht="23.1" customHeight="1" thickBot="1">
      <c r="B81" s="105"/>
      <c r="C81" s="1222" t="s">
        <v>816</v>
      </c>
      <c r="D81" s="1223"/>
      <c r="E81" s="1223"/>
      <c r="F81" s="1224"/>
      <c r="G81" s="161">
        <f>SUM(G71:G80)</f>
        <v>0</v>
      </c>
      <c r="H81" s="161">
        <f>SUM(H71:H80)</f>
        <v>0</v>
      </c>
      <c r="I81" s="87"/>
      <c r="J81" s="87"/>
      <c r="K81" s="156"/>
      <c r="L81" s="139"/>
      <c r="M81" s="139"/>
      <c r="N81" s="139"/>
      <c r="O81" s="139"/>
      <c r="P81" s="139"/>
      <c r="Q81" s="95"/>
      <c r="S81" s="389"/>
      <c r="T81" s="391"/>
      <c r="U81" s="391"/>
      <c r="V81" s="391"/>
      <c r="W81" s="391"/>
      <c r="X81" s="391"/>
      <c r="Y81" s="391"/>
      <c r="Z81" s="391"/>
      <c r="AA81" s="391"/>
      <c r="AB81" s="391"/>
      <c r="AC81" s="391"/>
      <c r="AD81" s="391"/>
      <c r="AE81" s="391"/>
      <c r="AF81" s="392"/>
    </row>
    <row r="82" spans="2:32" ht="23.1" customHeight="1">
      <c r="B82" s="105"/>
      <c r="C82" s="202"/>
      <c r="D82" s="202"/>
      <c r="E82" s="203"/>
      <c r="F82" s="203"/>
      <c r="G82" s="204"/>
      <c r="H82" s="204"/>
      <c r="I82" s="204"/>
      <c r="J82" s="204"/>
      <c r="K82" s="204"/>
      <c r="L82" s="87"/>
      <c r="M82" s="87"/>
      <c r="N82" s="156"/>
      <c r="O82" s="203"/>
      <c r="P82" s="205"/>
      <c r="Q82" s="95"/>
      <c r="S82" s="389"/>
      <c r="T82" s="391"/>
      <c r="U82" s="391"/>
      <c r="V82" s="391"/>
      <c r="W82" s="391"/>
      <c r="X82" s="391"/>
      <c r="Y82" s="391"/>
      <c r="Z82" s="391"/>
      <c r="AA82" s="391"/>
      <c r="AB82" s="391"/>
      <c r="AC82" s="391"/>
      <c r="AD82" s="391"/>
      <c r="AE82" s="391"/>
      <c r="AF82" s="392"/>
    </row>
    <row r="83" spans="2:32" ht="23.1" customHeight="1">
      <c r="B83" s="105"/>
      <c r="C83" s="157" t="s">
        <v>795</v>
      </c>
      <c r="D83" s="155"/>
      <c r="E83" s="156"/>
      <c r="F83" s="156"/>
      <c r="G83" s="156"/>
      <c r="H83" s="156"/>
      <c r="I83" s="156"/>
      <c r="J83" s="156"/>
      <c r="K83" s="156"/>
      <c r="L83" s="87"/>
      <c r="M83" s="87"/>
      <c r="N83" s="156"/>
      <c r="O83" s="156"/>
      <c r="P83" s="87"/>
      <c r="Q83" s="95"/>
      <c r="S83" s="389"/>
      <c r="T83" s="391"/>
      <c r="U83" s="391"/>
      <c r="V83" s="391"/>
      <c r="W83" s="391"/>
      <c r="X83" s="391"/>
      <c r="Y83" s="391"/>
      <c r="Z83" s="391"/>
      <c r="AA83" s="391"/>
      <c r="AB83" s="391"/>
      <c r="AC83" s="391"/>
      <c r="AD83" s="391"/>
      <c r="AE83" s="391"/>
      <c r="AF83" s="392"/>
    </row>
    <row r="84" spans="2:32" ht="18">
      <c r="B84" s="105"/>
      <c r="C84" s="788"/>
      <c r="D84" s="788"/>
      <c r="E84" s="789"/>
      <c r="F84" s="789"/>
      <c r="G84" s="789"/>
      <c r="H84" s="789"/>
      <c r="I84" s="789"/>
      <c r="J84" s="789"/>
      <c r="K84" s="789"/>
      <c r="L84" s="789"/>
      <c r="M84" s="789"/>
      <c r="N84" s="789"/>
      <c r="O84" s="789"/>
      <c r="P84" s="790"/>
      <c r="Q84" s="95"/>
      <c r="S84" s="389"/>
      <c r="T84" s="391"/>
      <c r="U84" s="391"/>
      <c r="V84" s="391"/>
      <c r="W84" s="391"/>
      <c r="X84" s="391"/>
      <c r="Y84" s="391"/>
      <c r="Z84" s="391"/>
      <c r="AA84" s="391"/>
      <c r="AB84" s="391"/>
      <c r="AC84" s="391"/>
      <c r="AD84" s="391"/>
      <c r="AE84" s="391"/>
      <c r="AF84" s="392"/>
    </row>
    <row r="85" spans="2:32" ht="18">
      <c r="B85" s="105"/>
      <c r="C85" s="791"/>
      <c r="D85" s="791"/>
      <c r="E85" s="792"/>
      <c r="F85" s="792"/>
      <c r="G85" s="792"/>
      <c r="H85" s="792"/>
      <c r="I85" s="792"/>
      <c r="J85" s="792"/>
      <c r="K85" s="792"/>
      <c r="L85" s="792"/>
      <c r="M85" s="792"/>
      <c r="N85" s="792"/>
      <c r="O85" s="792"/>
      <c r="P85" s="793"/>
      <c r="Q85" s="95"/>
      <c r="S85" s="389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2"/>
    </row>
    <row r="86" spans="2:32" ht="18">
      <c r="B86" s="105"/>
      <c r="C86" s="791"/>
      <c r="D86" s="791"/>
      <c r="E86" s="792"/>
      <c r="F86" s="792"/>
      <c r="G86" s="792"/>
      <c r="H86" s="792"/>
      <c r="I86" s="792"/>
      <c r="J86" s="792"/>
      <c r="K86" s="792"/>
      <c r="L86" s="792"/>
      <c r="M86" s="792"/>
      <c r="N86" s="792"/>
      <c r="O86" s="792"/>
      <c r="P86" s="793"/>
      <c r="Q86" s="95"/>
      <c r="S86" s="389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2"/>
    </row>
    <row r="87" spans="2:32" ht="18">
      <c r="B87" s="105"/>
      <c r="C87" s="791"/>
      <c r="D87" s="791"/>
      <c r="E87" s="792"/>
      <c r="F87" s="792"/>
      <c r="G87" s="792"/>
      <c r="H87" s="792"/>
      <c r="I87" s="792"/>
      <c r="J87" s="792"/>
      <c r="K87" s="792"/>
      <c r="L87" s="792"/>
      <c r="M87" s="792"/>
      <c r="N87" s="792"/>
      <c r="O87" s="792"/>
      <c r="P87" s="793"/>
      <c r="Q87" s="95"/>
      <c r="S87" s="389"/>
      <c r="T87" s="391"/>
      <c r="U87" s="391"/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2"/>
    </row>
    <row r="88" spans="2:32" ht="18">
      <c r="B88" s="105"/>
      <c r="C88" s="791"/>
      <c r="D88" s="791"/>
      <c r="E88" s="792"/>
      <c r="F88" s="792"/>
      <c r="G88" s="792"/>
      <c r="H88" s="792"/>
      <c r="I88" s="792"/>
      <c r="J88" s="792"/>
      <c r="K88" s="792"/>
      <c r="L88" s="792"/>
      <c r="M88" s="792"/>
      <c r="N88" s="792"/>
      <c r="O88" s="792"/>
      <c r="P88" s="793"/>
      <c r="Q88" s="95"/>
      <c r="S88" s="389"/>
      <c r="T88" s="391"/>
      <c r="U88" s="391"/>
      <c r="V88" s="391"/>
      <c r="W88" s="391"/>
      <c r="X88" s="391"/>
      <c r="Y88" s="391"/>
      <c r="Z88" s="391"/>
      <c r="AA88" s="391"/>
      <c r="AB88" s="391"/>
      <c r="AC88" s="391"/>
      <c r="AD88" s="391"/>
      <c r="AE88" s="391"/>
      <c r="AF88" s="392"/>
    </row>
    <row r="89" spans="2:32" ht="18">
      <c r="B89" s="105"/>
      <c r="C89" s="791"/>
      <c r="D89" s="791"/>
      <c r="E89" s="792"/>
      <c r="F89" s="792"/>
      <c r="G89" s="792"/>
      <c r="H89" s="792"/>
      <c r="I89" s="792"/>
      <c r="J89" s="792"/>
      <c r="K89" s="792"/>
      <c r="L89" s="792"/>
      <c r="M89" s="792"/>
      <c r="N89" s="792"/>
      <c r="O89" s="792"/>
      <c r="P89" s="793"/>
      <c r="Q89" s="95"/>
      <c r="S89" s="389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2"/>
    </row>
    <row r="90" spans="2:32" ht="18">
      <c r="B90" s="105"/>
      <c r="C90" s="791"/>
      <c r="D90" s="791"/>
      <c r="E90" s="792"/>
      <c r="F90" s="792"/>
      <c r="G90" s="792"/>
      <c r="H90" s="792"/>
      <c r="I90" s="792"/>
      <c r="J90" s="792"/>
      <c r="K90" s="792"/>
      <c r="L90" s="792"/>
      <c r="M90" s="792"/>
      <c r="N90" s="792"/>
      <c r="O90" s="792"/>
      <c r="P90" s="793"/>
      <c r="Q90" s="95"/>
      <c r="S90" s="389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2"/>
    </row>
    <row r="91" spans="2:32" ht="18">
      <c r="B91" s="105"/>
      <c r="C91" s="791"/>
      <c r="D91" s="791"/>
      <c r="E91" s="792"/>
      <c r="F91" s="792"/>
      <c r="G91" s="792"/>
      <c r="H91" s="792"/>
      <c r="I91" s="792"/>
      <c r="J91" s="792"/>
      <c r="K91" s="792"/>
      <c r="L91" s="792"/>
      <c r="M91" s="792"/>
      <c r="N91" s="792"/>
      <c r="O91" s="792"/>
      <c r="P91" s="793"/>
      <c r="Q91" s="95"/>
      <c r="S91" s="389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2"/>
    </row>
    <row r="92" spans="2:32" ht="18">
      <c r="B92" s="105"/>
      <c r="C92" s="791"/>
      <c r="D92" s="791"/>
      <c r="E92" s="792"/>
      <c r="F92" s="792"/>
      <c r="G92" s="792"/>
      <c r="H92" s="792"/>
      <c r="I92" s="792"/>
      <c r="J92" s="792"/>
      <c r="K92" s="792"/>
      <c r="L92" s="792"/>
      <c r="M92" s="792"/>
      <c r="N92" s="792"/>
      <c r="O92" s="792"/>
      <c r="P92" s="793"/>
      <c r="Q92" s="95"/>
      <c r="S92" s="389"/>
      <c r="T92" s="391"/>
      <c r="U92" s="391"/>
      <c r="V92" s="391"/>
      <c r="W92" s="391"/>
      <c r="X92" s="391"/>
      <c r="Y92" s="391"/>
      <c r="Z92" s="391"/>
      <c r="AA92" s="391"/>
      <c r="AB92" s="391"/>
      <c r="AC92" s="391"/>
      <c r="AD92" s="391"/>
      <c r="AE92" s="391"/>
      <c r="AF92" s="392"/>
    </row>
    <row r="93" spans="2:32" ht="18">
      <c r="B93" s="105"/>
      <c r="C93" s="791"/>
      <c r="D93" s="791"/>
      <c r="E93" s="792"/>
      <c r="F93" s="792"/>
      <c r="G93" s="792"/>
      <c r="H93" s="792"/>
      <c r="I93" s="792"/>
      <c r="J93" s="792"/>
      <c r="K93" s="792"/>
      <c r="L93" s="792"/>
      <c r="M93" s="792"/>
      <c r="N93" s="792"/>
      <c r="O93" s="792"/>
      <c r="P93" s="793"/>
      <c r="Q93" s="95"/>
      <c r="S93" s="389"/>
      <c r="T93" s="391"/>
      <c r="U93" s="391"/>
      <c r="V93" s="391"/>
      <c r="W93" s="391"/>
      <c r="X93" s="391"/>
      <c r="Y93" s="391"/>
      <c r="Z93" s="391"/>
      <c r="AA93" s="391"/>
      <c r="AB93" s="391"/>
      <c r="AC93" s="391"/>
      <c r="AD93" s="391"/>
      <c r="AE93" s="391"/>
      <c r="AF93" s="392"/>
    </row>
    <row r="94" spans="2:32" ht="18">
      <c r="B94" s="105"/>
      <c r="C94" s="813" t="s">
        <v>796</v>
      </c>
      <c r="D94" s="810"/>
      <c r="E94" s="811"/>
      <c r="F94" s="811"/>
      <c r="G94" s="811"/>
      <c r="H94" s="811"/>
      <c r="I94" s="811"/>
      <c r="J94" s="811"/>
      <c r="K94" s="811"/>
      <c r="L94" s="811"/>
      <c r="M94" s="811"/>
      <c r="N94" s="811"/>
      <c r="O94" s="811"/>
      <c r="P94" s="812"/>
      <c r="Q94" s="95"/>
      <c r="S94" s="389"/>
      <c r="T94" s="391"/>
      <c r="U94" s="391"/>
      <c r="V94" s="391"/>
      <c r="W94" s="391"/>
      <c r="X94" s="391"/>
      <c r="Y94" s="391"/>
      <c r="Z94" s="391"/>
      <c r="AA94" s="391"/>
      <c r="AB94" s="391"/>
      <c r="AC94" s="391"/>
      <c r="AD94" s="391"/>
      <c r="AE94" s="391"/>
      <c r="AF94" s="392"/>
    </row>
    <row r="95" spans="2:32" ht="18">
      <c r="B95" s="105"/>
      <c r="C95" s="814" t="s">
        <v>808</v>
      </c>
      <c r="D95" s="810"/>
      <c r="E95" s="811"/>
      <c r="F95" s="811"/>
      <c r="G95" s="811"/>
      <c r="H95" s="811"/>
      <c r="I95" s="811"/>
      <c r="J95" s="811"/>
      <c r="K95" s="811"/>
      <c r="L95" s="811"/>
      <c r="M95" s="811"/>
      <c r="N95" s="811"/>
      <c r="O95" s="811"/>
      <c r="P95" s="812"/>
      <c r="Q95" s="95"/>
      <c r="S95" s="389"/>
      <c r="T95" s="391"/>
      <c r="U95" s="391"/>
      <c r="V95" s="391"/>
      <c r="W95" s="391"/>
      <c r="X95" s="391"/>
      <c r="Y95" s="391"/>
      <c r="Z95" s="391"/>
      <c r="AA95" s="391"/>
      <c r="AB95" s="391"/>
      <c r="AC95" s="391"/>
      <c r="AD95" s="391"/>
      <c r="AE95" s="391"/>
      <c r="AF95" s="392"/>
    </row>
    <row r="96" spans="2:32" ht="18">
      <c r="B96" s="105"/>
      <c r="C96" s="814" t="s">
        <v>806</v>
      </c>
      <c r="D96" s="810"/>
      <c r="E96" s="811"/>
      <c r="F96" s="811"/>
      <c r="G96" s="815">
        <f>ejercicio-1</f>
        <v>2018</v>
      </c>
      <c r="H96" s="811" t="s">
        <v>807</v>
      </c>
      <c r="I96" s="811"/>
      <c r="J96" s="811"/>
      <c r="K96" s="815">
        <f>ejercicio</f>
        <v>2019</v>
      </c>
      <c r="L96" s="811"/>
      <c r="M96" s="811"/>
      <c r="O96" s="811"/>
      <c r="P96" s="812"/>
      <c r="Q96" s="95"/>
      <c r="S96" s="389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2"/>
    </row>
    <row r="97" spans="2:32" ht="18">
      <c r="B97" s="105"/>
      <c r="C97" s="814" t="s">
        <v>810</v>
      </c>
      <c r="D97" s="810"/>
      <c r="E97" s="811"/>
      <c r="F97" s="811"/>
      <c r="G97" s="811"/>
      <c r="H97" s="811"/>
      <c r="I97" s="811"/>
      <c r="J97" s="811"/>
      <c r="K97" s="811"/>
      <c r="L97" s="811"/>
      <c r="M97" s="811"/>
      <c r="N97" s="811"/>
      <c r="O97" s="811"/>
      <c r="P97" s="812"/>
      <c r="Q97" s="95"/>
      <c r="S97" s="389"/>
      <c r="T97" s="391"/>
      <c r="U97" s="391"/>
      <c r="V97" s="391"/>
      <c r="W97" s="391"/>
      <c r="X97" s="391"/>
      <c r="Y97" s="391"/>
      <c r="Z97" s="391"/>
      <c r="AA97" s="391"/>
      <c r="AB97" s="391"/>
      <c r="AC97" s="391"/>
      <c r="AD97" s="391"/>
      <c r="AE97" s="391"/>
      <c r="AF97" s="392"/>
    </row>
    <row r="98" spans="2:32" ht="18">
      <c r="B98" s="105"/>
      <c r="C98" s="810" t="s">
        <v>809</v>
      </c>
      <c r="D98" s="810"/>
      <c r="E98" s="811"/>
      <c r="F98" s="811"/>
      <c r="G98" s="811"/>
      <c r="H98" s="811"/>
      <c r="I98" s="811"/>
      <c r="J98" s="811"/>
      <c r="K98" s="811"/>
      <c r="L98" s="811"/>
      <c r="M98" s="811"/>
      <c r="N98" s="811"/>
      <c r="O98" s="811"/>
      <c r="P98" s="812"/>
      <c r="Q98" s="95"/>
      <c r="S98" s="389"/>
      <c r="T98" s="391"/>
      <c r="U98" s="391"/>
      <c r="V98" s="391"/>
      <c r="W98" s="391"/>
      <c r="X98" s="391"/>
      <c r="Y98" s="391"/>
      <c r="Z98" s="391"/>
      <c r="AA98" s="391"/>
      <c r="AB98" s="391"/>
      <c r="AC98" s="391"/>
      <c r="AD98" s="391"/>
      <c r="AE98" s="391"/>
      <c r="AF98" s="392"/>
    </row>
    <row r="99" spans="2:32" ht="18">
      <c r="B99" s="105"/>
      <c r="C99" s="814" t="s">
        <v>811</v>
      </c>
      <c r="D99" s="810"/>
      <c r="E99" s="811"/>
      <c r="F99" s="811"/>
      <c r="G99" s="811"/>
      <c r="H99" s="811"/>
      <c r="I99" s="811"/>
      <c r="J99" s="811"/>
      <c r="K99" s="811"/>
      <c r="L99" s="811"/>
      <c r="M99" s="811"/>
      <c r="N99" s="811"/>
      <c r="O99" s="811"/>
      <c r="P99" s="812"/>
      <c r="Q99" s="95"/>
      <c r="S99" s="389"/>
      <c r="T99" s="391"/>
      <c r="U99" s="391"/>
      <c r="V99" s="391"/>
      <c r="W99" s="391"/>
      <c r="X99" s="391"/>
      <c r="Y99" s="391"/>
      <c r="Z99" s="391"/>
      <c r="AA99" s="391"/>
      <c r="AB99" s="391"/>
      <c r="AC99" s="391"/>
      <c r="AD99" s="391"/>
      <c r="AE99" s="391"/>
      <c r="AF99" s="392"/>
    </row>
    <row r="100" spans="2:32" ht="18">
      <c r="B100" s="105"/>
      <c r="C100" s="810" t="s">
        <v>797</v>
      </c>
      <c r="D100" s="810"/>
      <c r="E100" s="811"/>
      <c r="F100" s="811"/>
      <c r="G100" s="811"/>
      <c r="H100" s="811"/>
      <c r="I100" s="811"/>
      <c r="J100" s="811"/>
      <c r="K100" s="811"/>
      <c r="L100" s="811"/>
      <c r="M100" s="811"/>
      <c r="N100" s="811"/>
      <c r="O100" s="811"/>
      <c r="P100" s="812"/>
      <c r="Q100" s="95"/>
      <c r="S100" s="389"/>
      <c r="T100" s="391"/>
      <c r="U100" s="391"/>
      <c r="V100" s="391"/>
      <c r="W100" s="391"/>
      <c r="X100" s="391"/>
      <c r="Y100" s="391"/>
      <c r="Z100" s="391"/>
      <c r="AA100" s="391"/>
      <c r="AB100" s="391"/>
      <c r="AC100" s="391"/>
      <c r="AD100" s="391"/>
      <c r="AE100" s="391"/>
      <c r="AF100" s="392"/>
    </row>
    <row r="101" spans="2:32" ht="18">
      <c r="B101" s="105"/>
      <c r="C101" s="810" t="s">
        <v>817</v>
      </c>
      <c r="D101" s="810"/>
      <c r="E101" s="811"/>
      <c r="F101" s="811"/>
      <c r="G101" s="811"/>
      <c r="H101" s="811"/>
      <c r="I101" s="811"/>
      <c r="J101" s="811"/>
      <c r="K101" s="811"/>
      <c r="L101" s="811"/>
      <c r="M101" s="811"/>
      <c r="N101" s="811"/>
      <c r="O101" s="811"/>
      <c r="P101" s="812"/>
      <c r="Q101" s="95"/>
      <c r="S101" s="389"/>
      <c r="T101" s="391"/>
      <c r="U101" s="391"/>
      <c r="V101" s="391"/>
      <c r="W101" s="391"/>
      <c r="X101" s="391"/>
      <c r="Y101" s="391"/>
      <c r="Z101" s="391"/>
      <c r="AA101" s="391"/>
      <c r="AB101" s="391"/>
      <c r="AC101" s="391"/>
      <c r="AD101" s="391"/>
      <c r="AE101" s="391"/>
      <c r="AF101" s="392"/>
    </row>
    <row r="102" spans="2:32" ht="18">
      <c r="B102" s="105"/>
      <c r="C102" s="810" t="s">
        <v>798</v>
      </c>
      <c r="D102" s="810"/>
      <c r="E102" s="811"/>
      <c r="F102" s="811"/>
      <c r="G102" s="811"/>
      <c r="H102" s="811"/>
      <c r="I102" s="811"/>
      <c r="J102" s="811"/>
      <c r="K102" s="811"/>
      <c r="L102" s="811"/>
      <c r="M102" s="811"/>
      <c r="N102" s="811"/>
      <c r="O102" s="811"/>
      <c r="P102" s="812"/>
      <c r="Q102" s="95"/>
      <c r="S102" s="389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2"/>
    </row>
    <row r="103" spans="2:32" ht="18">
      <c r="B103" s="105"/>
      <c r="C103" s="814" t="s">
        <v>812</v>
      </c>
      <c r="D103" s="810"/>
      <c r="E103" s="811"/>
      <c r="F103" s="811"/>
      <c r="G103" s="811"/>
      <c r="H103" s="811"/>
      <c r="I103" s="811"/>
      <c r="J103" s="811"/>
      <c r="K103" s="811"/>
      <c r="L103" s="811"/>
      <c r="M103" s="811"/>
      <c r="N103" s="811"/>
      <c r="O103" s="811"/>
      <c r="P103" s="812"/>
      <c r="Q103" s="95"/>
      <c r="S103" s="389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/>
      <c r="AD103" s="391"/>
      <c r="AE103" s="391"/>
      <c r="AF103" s="392"/>
    </row>
    <row r="104" spans="2:32" ht="18">
      <c r="B104" s="105"/>
      <c r="C104" s="814" t="s">
        <v>819</v>
      </c>
      <c r="D104" s="810"/>
      <c r="E104" s="811"/>
      <c r="F104" s="811"/>
      <c r="G104" s="811"/>
      <c r="H104" s="811"/>
      <c r="I104" s="811"/>
      <c r="J104" s="811"/>
      <c r="K104" s="811"/>
      <c r="L104" s="811"/>
      <c r="M104" s="811"/>
      <c r="N104" s="811"/>
      <c r="O104" s="811"/>
      <c r="P104" s="812"/>
      <c r="Q104" s="95"/>
      <c r="S104" s="389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1"/>
      <c r="AD104" s="391"/>
      <c r="AE104" s="391"/>
      <c r="AF104" s="392"/>
    </row>
    <row r="105" spans="2:32" ht="18">
      <c r="B105" s="105"/>
      <c r="C105" s="810" t="s">
        <v>803</v>
      </c>
      <c r="D105" s="810"/>
      <c r="E105" s="811"/>
      <c r="F105" s="811"/>
      <c r="G105" s="811"/>
      <c r="H105" s="811"/>
      <c r="I105" s="811"/>
      <c r="J105" s="811"/>
      <c r="K105" s="811"/>
      <c r="L105" s="811"/>
      <c r="M105" s="811"/>
      <c r="N105" s="811"/>
      <c r="O105" s="811"/>
      <c r="P105" s="812"/>
      <c r="Q105" s="95"/>
      <c r="S105" s="389"/>
      <c r="T105" s="391"/>
      <c r="U105" s="391"/>
      <c r="V105" s="391"/>
      <c r="W105" s="391"/>
      <c r="X105" s="391"/>
      <c r="Y105" s="391"/>
      <c r="Z105" s="391"/>
      <c r="AA105" s="391"/>
      <c r="AB105" s="391"/>
      <c r="AC105" s="391"/>
      <c r="AD105" s="391"/>
      <c r="AE105" s="391"/>
      <c r="AF105" s="392"/>
    </row>
    <row r="106" spans="2:32" ht="18">
      <c r="B106" s="105"/>
      <c r="C106" s="814" t="s">
        <v>813</v>
      </c>
      <c r="D106" s="810"/>
      <c r="E106" s="811"/>
      <c r="F106" s="811"/>
      <c r="G106" s="811"/>
      <c r="H106" s="811"/>
      <c r="I106" s="811"/>
      <c r="J106" s="811"/>
      <c r="K106" s="811"/>
      <c r="L106" s="811"/>
      <c r="M106" s="811"/>
      <c r="N106" s="811"/>
      <c r="O106" s="811"/>
      <c r="P106" s="812"/>
      <c r="Q106" s="95"/>
      <c r="S106" s="389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2"/>
    </row>
    <row r="107" spans="2:32" s="822" customFormat="1" ht="18">
      <c r="B107" s="816"/>
      <c r="C107" s="817" t="s">
        <v>818</v>
      </c>
      <c r="D107" s="818"/>
      <c r="E107" s="819"/>
      <c r="F107" s="819"/>
      <c r="G107" s="819"/>
      <c r="H107" s="819"/>
      <c r="I107" s="819"/>
      <c r="J107" s="819"/>
      <c r="K107" s="819"/>
      <c r="L107" s="819"/>
      <c r="M107" s="819"/>
      <c r="N107" s="819"/>
      <c r="O107" s="819"/>
      <c r="P107" s="820"/>
      <c r="Q107" s="821"/>
      <c r="S107" s="389"/>
      <c r="T107" s="391"/>
      <c r="U107" s="391"/>
      <c r="V107" s="391"/>
      <c r="W107" s="391"/>
      <c r="X107" s="391"/>
      <c r="Y107" s="391"/>
      <c r="Z107" s="391"/>
      <c r="AA107" s="391"/>
      <c r="AB107" s="391"/>
      <c r="AC107" s="391"/>
      <c r="AD107" s="391"/>
      <c r="AE107" s="391"/>
      <c r="AF107" s="392"/>
    </row>
    <row r="108" spans="2:32" ht="18">
      <c r="B108" s="105"/>
      <c r="C108" s="810" t="s">
        <v>804</v>
      </c>
      <c r="D108" s="810"/>
      <c r="E108" s="811"/>
      <c r="F108" s="811"/>
      <c r="G108" s="811"/>
      <c r="H108" s="811"/>
      <c r="I108" s="811"/>
      <c r="J108" s="811"/>
      <c r="K108" s="811"/>
      <c r="L108" s="811"/>
      <c r="M108" s="811"/>
      <c r="N108" s="811"/>
      <c r="O108" s="811"/>
      <c r="P108" s="812"/>
      <c r="Q108" s="95"/>
      <c r="S108" s="389"/>
      <c r="T108" s="391"/>
      <c r="U108" s="391"/>
      <c r="V108" s="391"/>
      <c r="W108" s="391"/>
      <c r="X108" s="391"/>
      <c r="Y108" s="391"/>
      <c r="Z108" s="391"/>
      <c r="AA108" s="391"/>
      <c r="AB108" s="391"/>
      <c r="AC108" s="391"/>
      <c r="AD108" s="391"/>
      <c r="AE108" s="391"/>
      <c r="AF108" s="392"/>
    </row>
    <row r="109" spans="2:32" ht="18">
      <c r="B109" s="105"/>
      <c r="C109" s="814" t="s">
        <v>814</v>
      </c>
      <c r="D109" s="810"/>
      <c r="E109" s="811"/>
      <c r="F109" s="811"/>
      <c r="G109" s="811"/>
      <c r="H109" s="811"/>
      <c r="I109" s="811"/>
      <c r="J109" s="811"/>
      <c r="K109" s="811"/>
      <c r="L109" s="811"/>
      <c r="M109" s="811"/>
      <c r="N109" s="811"/>
      <c r="O109" s="811"/>
      <c r="P109" s="812"/>
      <c r="Q109" s="95"/>
      <c r="S109" s="389"/>
      <c r="T109" s="391"/>
      <c r="U109" s="391"/>
      <c r="V109" s="391"/>
      <c r="W109" s="391"/>
      <c r="X109" s="391"/>
      <c r="Y109" s="391"/>
      <c r="Z109" s="391"/>
      <c r="AA109" s="391"/>
      <c r="AB109" s="391"/>
      <c r="AC109" s="391"/>
      <c r="AD109" s="391"/>
      <c r="AE109" s="391"/>
      <c r="AF109" s="392"/>
    </row>
    <row r="110" spans="2:32" ht="18">
      <c r="B110" s="105"/>
      <c r="C110" s="810" t="s">
        <v>805</v>
      </c>
      <c r="D110" s="810"/>
      <c r="E110" s="811"/>
      <c r="F110" s="811"/>
      <c r="G110" s="811"/>
      <c r="H110" s="811"/>
      <c r="I110" s="811"/>
      <c r="J110" s="811"/>
      <c r="K110" s="811"/>
      <c r="L110" s="811"/>
      <c r="M110" s="811"/>
      <c r="N110" s="811"/>
      <c r="O110" s="811"/>
      <c r="P110" s="812"/>
      <c r="Q110" s="95"/>
      <c r="S110" s="389"/>
      <c r="T110" s="391"/>
      <c r="U110" s="391"/>
      <c r="V110" s="391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2"/>
    </row>
    <row r="111" spans="2:32" ht="23.1" customHeight="1" thickBot="1">
      <c r="B111" s="108"/>
      <c r="C111" s="1116"/>
      <c r="D111" s="1116"/>
      <c r="E111" s="1116"/>
      <c r="F111" s="1116"/>
      <c r="G111" s="1116"/>
      <c r="H111" s="48"/>
      <c r="I111" s="48"/>
      <c r="J111" s="48"/>
      <c r="K111" s="48"/>
      <c r="L111" s="48"/>
      <c r="M111" s="48"/>
      <c r="N111" s="48"/>
      <c r="O111" s="48"/>
      <c r="P111" s="109"/>
      <c r="Q111" s="110"/>
      <c r="S111" s="405"/>
      <c r="T111" s="406"/>
      <c r="U111" s="406"/>
      <c r="V111" s="406"/>
      <c r="W111" s="406"/>
      <c r="X111" s="406"/>
      <c r="Y111" s="406"/>
      <c r="Z111" s="406"/>
      <c r="AA111" s="406"/>
      <c r="AB111" s="406"/>
      <c r="AC111" s="406"/>
      <c r="AD111" s="406"/>
      <c r="AE111" s="406"/>
      <c r="AF111" s="407"/>
    </row>
    <row r="112" spans="2:32" ht="23.1" customHeight="1">
      <c r="R112" s="88" t="s">
        <v>951</v>
      </c>
    </row>
    <row r="113" spans="3:16" ht="12.75">
      <c r="C113" s="111" t="s">
        <v>72</v>
      </c>
      <c r="P113" s="86" t="s">
        <v>54</v>
      </c>
    </row>
    <row r="114" spans="3:16" ht="12.75">
      <c r="C114" s="111" t="s">
        <v>73</v>
      </c>
    </row>
    <row r="115" spans="3:16" ht="12.75">
      <c r="C115" s="111" t="s">
        <v>74</v>
      </c>
    </row>
    <row r="116" spans="3:16" ht="12.75">
      <c r="C116" s="111" t="s">
        <v>75</v>
      </c>
    </row>
    <row r="117" spans="3:16" ht="12.75">
      <c r="C117" s="111" t="s">
        <v>76</v>
      </c>
    </row>
  </sheetData>
  <sheetProtection password="C494" sheet="1" objects="1" scenarios="1" insertRows="0"/>
  <mergeCells count="62">
    <mergeCell ref="E70:F70"/>
    <mergeCell ref="C81:F81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C70:D70"/>
    <mergeCell ref="E63:F63"/>
    <mergeCell ref="E64:F64"/>
    <mergeCell ref="E65:F65"/>
    <mergeCell ref="E66:F66"/>
    <mergeCell ref="C67:F67"/>
    <mergeCell ref="E58:F58"/>
    <mergeCell ref="E59:F59"/>
    <mergeCell ref="E60:F60"/>
    <mergeCell ref="E61:F61"/>
    <mergeCell ref="E62:F62"/>
    <mergeCell ref="C111:G111"/>
    <mergeCell ref="C38:D38"/>
    <mergeCell ref="C55:D55"/>
    <mergeCell ref="G55:H55"/>
    <mergeCell ref="I55:J55"/>
    <mergeCell ref="C56:D56"/>
    <mergeCell ref="E57:F57"/>
    <mergeCell ref="E39:F39"/>
    <mergeCell ref="E40:F40"/>
    <mergeCell ref="E41:F41"/>
    <mergeCell ref="E42:F42"/>
    <mergeCell ref="E43:F43"/>
    <mergeCell ref="C52:F52"/>
    <mergeCell ref="E56:F56"/>
    <mergeCell ref="E55:F55"/>
    <mergeCell ref="E44:F44"/>
    <mergeCell ref="G16:H16"/>
    <mergeCell ref="G37:H37"/>
    <mergeCell ref="I37:J37"/>
    <mergeCell ref="P6:P7"/>
    <mergeCell ref="D9:P9"/>
    <mergeCell ref="C12:D12"/>
    <mergeCell ref="C15:D15"/>
    <mergeCell ref="L15:M15"/>
    <mergeCell ref="E37:F37"/>
    <mergeCell ref="J16:K16"/>
    <mergeCell ref="L16:M16"/>
    <mergeCell ref="F15:K15"/>
    <mergeCell ref="C17:D17"/>
    <mergeCell ref="C19:E19"/>
    <mergeCell ref="C33:E33"/>
    <mergeCell ref="C37:D37"/>
    <mergeCell ref="E45:F45"/>
    <mergeCell ref="E46:F46"/>
    <mergeCell ref="E47:F47"/>
    <mergeCell ref="E50:F50"/>
    <mergeCell ref="C16:D16"/>
    <mergeCell ref="E38:F38"/>
    <mergeCell ref="E48:F4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I126"/>
  <sheetViews>
    <sheetView topLeftCell="J26" zoomScale="110" zoomScaleNormal="125" zoomScalePageLayoutView="125" workbookViewId="0">
      <selection activeCell="R55" sqref="R55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26.5546875" style="88" customWidth="1"/>
    <col min="5" max="6" width="13.44140625" style="89" customWidth="1"/>
    <col min="7" max="7" width="20" style="89" customWidth="1"/>
    <col min="8" max="8" width="13.44140625" style="89" customWidth="1"/>
    <col min="9" max="9" width="11.33203125" style="89" customWidth="1"/>
    <col min="10" max="10" width="16" style="89" customWidth="1"/>
    <col min="11" max="12" width="15.6640625" style="89" customWidth="1"/>
    <col min="13" max="13" width="16.5546875" style="89" customWidth="1"/>
    <col min="14" max="14" width="17" style="89" customWidth="1"/>
    <col min="15" max="19" width="15.6640625" style="89" customWidth="1"/>
    <col min="20" max="20" width="3.33203125" style="88" customWidth="1"/>
    <col min="21" max="21" width="10.6640625" style="88"/>
    <col min="22" max="22" width="11.33203125" style="88" bestFit="1" customWidth="1"/>
    <col min="23" max="16384" width="10.6640625" style="88"/>
  </cols>
  <sheetData>
    <row r="2" spans="1:35" ht="23.1" customHeight="1">
      <c r="D2" s="202" t="s">
        <v>374</v>
      </c>
    </row>
    <row r="3" spans="1:35" ht="23.1" customHeight="1">
      <c r="D3" s="202" t="s">
        <v>375</v>
      </c>
    </row>
    <row r="4" spans="1:35" ht="23.1" customHeight="1" thickBot="1">
      <c r="A4" s="88" t="s">
        <v>950</v>
      </c>
    </row>
    <row r="5" spans="1:35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V5" s="887"/>
      <c r="W5" s="888"/>
      <c r="X5" s="888"/>
      <c r="Y5" s="888"/>
      <c r="Z5" s="888"/>
      <c r="AA5" s="888"/>
      <c r="AB5" s="888"/>
      <c r="AC5" s="888"/>
      <c r="AD5" s="888"/>
      <c r="AE5" s="888"/>
      <c r="AF5" s="888"/>
      <c r="AG5" s="888"/>
      <c r="AH5" s="888"/>
      <c r="AI5" s="889"/>
    </row>
    <row r="6" spans="1:35" ht="30" customHeight="1">
      <c r="B6" s="94"/>
      <c r="C6" s="59" t="s">
        <v>0</v>
      </c>
      <c r="S6" s="1110">
        <f>ejercicio</f>
        <v>2019</v>
      </c>
      <c r="T6" s="95"/>
      <c r="V6" s="890"/>
      <c r="W6" s="891" t="s">
        <v>689</v>
      </c>
      <c r="X6" s="822"/>
      <c r="Y6" s="822"/>
      <c r="Z6" s="822"/>
      <c r="AA6" s="822"/>
      <c r="AB6" s="822"/>
      <c r="AC6" s="822"/>
      <c r="AD6" s="822"/>
      <c r="AE6" s="822"/>
      <c r="AF6" s="822"/>
      <c r="AG6" s="822"/>
      <c r="AH6" s="822"/>
      <c r="AI6" s="821"/>
    </row>
    <row r="7" spans="1:35" ht="30" customHeight="1">
      <c r="B7" s="94"/>
      <c r="C7" s="59" t="s">
        <v>1</v>
      </c>
      <c r="S7" s="1110"/>
      <c r="T7" s="95"/>
      <c r="V7" s="890"/>
      <c r="W7" s="822"/>
      <c r="X7" s="822"/>
      <c r="Y7" s="822"/>
      <c r="Z7" s="822"/>
      <c r="AA7" s="822"/>
      <c r="AB7" s="822"/>
      <c r="AC7" s="822"/>
      <c r="AD7" s="822"/>
      <c r="AE7" s="822"/>
      <c r="AF7" s="822"/>
      <c r="AG7" s="822"/>
      <c r="AH7" s="822"/>
      <c r="AI7" s="821"/>
    </row>
    <row r="8" spans="1:35" ht="30" customHeight="1">
      <c r="B8" s="94"/>
      <c r="C8" s="96"/>
      <c r="T8" s="95"/>
      <c r="V8" s="890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1"/>
    </row>
    <row r="9" spans="1:35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117"/>
      <c r="R9" s="1117"/>
      <c r="S9" s="1117"/>
      <c r="T9" s="174"/>
      <c r="V9" s="890"/>
      <c r="W9" s="822"/>
      <c r="X9" s="822"/>
      <c r="Y9" s="822"/>
      <c r="Z9" s="822"/>
      <c r="AA9" s="822"/>
      <c r="AB9" s="822"/>
      <c r="AC9" s="822"/>
      <c r="AD9" s="822"/>
      <c r="AE9" s="822"/>
      <c r="AF9" s="822"/>
      <c r="AG9" s="822"/>
      <c r="AH9" s="822"/>
      <c r="AI9" s="821"/>
    </row>
    <row r="10" spans="1:35" ht="7.35" customHeight="1">
      <c r="B10" s="94"/>
      <c r="T10" s="95"/>
      <c r="V10" s="890"/>
      <c r="W10" s="822"/>
      <c r="X10" s="822"/>
      <c r="Y10" s="822"/>
      <c r="Z10" s="822"/>
      <c r="AA10" s="822"/>
      <c r="AB10" s="822"/>
      <c r="AC10" s="822"/>
      <c r="AD10" s="822"/>
      <c r="AE10" s="822"/>
      <c r="AF10" s="822"/>
      <c r="AG10" s="822"/>
      <c r="AH10" s="822"/>
      <c r="AI10" s="821"/>
    </row>
    <row r="11" spans="1:35" s="104" customFormat="1" ht="30" customHeight="1">
      <c r="B11" s="100"/>
      <c r="C11" s="101" t="s">
        <v>717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V11" s="890"/>
      <c r="W11" s="822"/>
      <c r="X11" s="822"/>
      <c r="Y11" s="822"/>
      <c r="Z11" s="822"/>
      <c r="AA11" s="822"/>
      <c r="AB11" s="822"/>
      <c r="AC11" s="822"/>
      <c r="AD11" s="822"/>
      <c r="AE11" s="822"/>
      <c r="AF11" s="822"/>
      <c r="AG11" s="822"/>
      <c r="AH11" s="822"/>
      <c r="AI11" s="821"/>
    </row>
    <row r="12" spans="1:35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103"/>
      <c r="V12" s="890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1"/>
    </row>
    <row r="13" spans="1:35" ht="29.1" customHeight="1">
      <c r="B13" s="105"/>
      <c r="C13" s="55" t="s">
        <v>831</v>
      </c>
      <c r="D13" s="141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95"/>
      <c r="V13" s="890"/>
      <c r="W13" s="822"/>
      <c r="X13" s="822"/>
      <c r="Y13" s="822"/>
      <c r="Z13" s="822"/>
      <c r="AA13" s="822"/>
      <c r="AB13" s="822"/>
      <c r="AC13" s="822"/>
      <c r="AD13" s="822"/>
      <c r="AE13" s="822"/>
      <c r="AF13" s="822"/>
      <c r="AG13" s="822"/>
      <c r="AH13" s="822"/>
      <c r="AI13" s="821"/>
    </row>
    <row r="14" spans="1:35" ht="9" customHeight="1">
      <c r="B14" s="105"/>
      <c r="C14" s="141"/>
      <c r="D14" s="141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95"/>
      <c r="V14" s="890"/>
      <c r="W14" s="822"/>
      <c r="X14" s="822"/>
      <c r="Y14" s="822"/>
      <c r="Z14" s="822"/>
      <c r="AA14" s="822"/>
      <c r="AB14" s="822"/>
      <c r="AC14" s="822"/>
      <c r="AD14" s="822"/>
      <c r="AE14" s="822"/>
      <c r="AF14" s="822"/>
      <c r="AG14" s="822"/>
      <c r="AH14" s="822"/>
      <c r="AI14" s="821"/>
    </row>
    <row r="15" spans="1:35" ht="23.1" customHeight="1">
      <c r="B15" s="105"/>
      <c r="C15" s="141"/>
      <c r="D15" s="141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95"/>
      <c r="V15" s="890"/>
      <c r="W15" s="822"/>
      <c r="X15" s="822"/>
      <c r="Y15" s="822"/>
      <c r="Z15" s="822"/>
      <c r="AA15" s="822"/>
      <c r="AB15" s="822"/>
      <c r="AC15" s="822"/>
      <c r="AD15" s="822"/>
      <c r="AE15" s="822"/>
      <c r="AF15" s="822"/>
      <c r="AG15" s="822"/>
      <c r="AH15" s="822"/>
      <c r="AI15" s="821"/>
    </row>
    <row r="16" spans="1:35" ht="39" customHeight="1">
      <c r="B16" s="105"/>
      <c r="C16" s="183" t="s">
        <v>469</v>
      </c>
      <c r="D16" s="230" t="s">
        <v>471</v>
      </c>
      <c r="E16" s="183" t="s">
        <v>677</v>
      </c>
      <c r="F16" s="183" t="s">
        <v>677</v>
      </c>
      <c r="G16" s="183" t="s">
        <v>473</v>
      </c>
      <c r="H16" s="183" t="s">
        <v>477</v>
      </c>
      <c r="I16" s="183" t="s">
        <v>479</v>
      </c>
      <c r="J16" s="183" t="s">
        <v>730</v>
      </c>
      <c r="K16" s="183" t="s">
        <v>475</v>
      </c>
      <c r="L16" s="183" t="s">
        <v>679</v>
      </c>
      <c r="M16" s="892" t="s">
        <v>690</v>
      </c>
      <c r="N16" s="183" t="s">
        <v>1008</v>
      </c>
      <c r="O16" s="183" t="s">
        <v>1009</v>
      </c>
      <c r="P16" s="893" t="s">
        <v>1010</v>
      </c>
      <c r="Q16" s="183" t="s">
        <v>679</v>
      </c>
      <c r="R16" s="1205" t="s">
        <v>1011</v>
      </c>
      <c r="S16" s="1206"/>
      <c r="T16" s="95"/>
      <c r="V16" s="890"/>
      <c r="W16" s="822"/>
      <c r="X16" s="822"/>
      <c r="Y16" s="822"/>
      <c r="Z16" s="822"/>
      <c r="AA16" s="822"/>
      <c r="AB16" s="822"/>
      <c r="AC16" s="822"/>
      <c r="AD16" s="822"/>
      <c r="AE16" s="822"/>
      <c r="AF16" s="822"/>
      <c r="AG16" s="822"/>
      <c r="AH16" s="822"/>
      <c r="AI16" s="821"/>
    </row>
    <row r="17" spans="2:35" ht="23.1" customHeight="1">
      <c r="B17" s="105"/>
      <c r="C17" s="234" t="s">
        <v>470</v>
      </c>
      <c r="D17" s="235" t="s">
        <v>470</v>
      </c>
      <c r="E17" s="234" t="s">
        <v>472</v>
      </c>
      <c r="F17" s="234" t="s">
        <v>678</v>
      </c>
      <c r="G17" s="234" t="s">
        <v>474</v>
      </c>
      <c r="H17" s="234" t="s">
        <v>478</v>
      </c>
      <c r="I17" s="234" t="s">
        <v>715</v>
      </c>
      <c r="J17" s="234" t="s">
        <v>758</v>
      </c>
      <c r="K17" s="234" t="s">
        <v>1007</v>
      </c>
      <c r="L17" s="234">
        <f>ejercicio-1</f>
        <v>2018</v>
      </c>
      <c r="M17" s="234">
        <f>ejercicio</f>
        <v>2019</v>
      </c>
      <c r="N17" s="234">
        <f>ejercicio</f>
        <v>2019</v>
      </c>
      <c r="O17" s="234">
        <f>ejercicio</f>
        <v>2019</v>
      </c>
      <c r="P17" s="234">
        <f>ejercicio</f>
        <v>2019</v>
      </c>
      <c r="Q17" s="234">
        <f>ejercicio</f>
        <v>2019</v>
      </c>
      <c r="R17" s="894" t="s">
        <v>680</v>
      </c>
      <c r="S17" s="895" t="s">
        <v>681</v>
      </c>
      <c r="T17" s="95"/>
      <c r="V17" s="890"/>
      <c r="W17" s="822"/>
      <c r="X17" s="822"/>
      <c r="Y17" s="822"/>
      <c r="Z17" s="822"/>
      <c r="AA17" s="822"/>
      <c r="AB17" s="822"/>
      <c r="AC17" s="822"/>
      <c r="AD17" s="822"/>
      <c r="AE17" s="822"/>
      <c r="AF17" s="822"/>
      <c r="AG17" s="822"/>
      <c r="AH17" s="822"/>
      <c r="AI17" s="821"/>
    </row>
    <row r="18" spans="2:35" ht="23.1" customHeight="1">
      <c r="B18" s="105"/>
      <c r="C18" s="500"/>
      <c r="D18" s="873"/>
      <c r="E18" s="872"/>
      <c r="F18" s="872"/>
      <c r="G18" s="1079"/>
      <c r="H18" s="1080"/>
      <c r="I18" s="1080"/>
      <c r="J18" s="700"/>
      <c r="K18" s="564"/>
      <c r="L18" s="564"/>
      <c r="M18" s="701"/>
      <c r="N18" s="701"/>
      <c r="O18" s="701"/>
      <c r="P18" s="656"/>
      <c r="Q18" s="896">
        <f>L18+M18-N18</f>
        <v>0</v>
      </c>
      <c r="R18" s="756"/>
      <c r="S18" s="757"/>
      <c r="T18" s="95"/>
      <c r="V18" s="890"/>
      <c r="W18" s="822"/>
      <c r="X18" s="822"/>
      <c r="Y18" s="822"/>
      <c r="Z18" s="822"/>
      <c r="AA18" s="822"/>
      <c r="AB18" s="822"/>
      <c r="AC18" s="822"/>
      <c r="AD18" s="822"/>
      <c r="AE18" s="822"/>
      <c r="AF18" s="822"/>
      <c r="AG18" s="822"/>
      <c r="AH18" s="822"/>
      <c r="AI18" s="821"/>
    </row>
    <row r="19" spans="2:35" ht="23.1" customHeight="1">
      <c r="B19" s="105"/>
      <c r="C19" s="500"/>
      <c r="D19" s="873"/>
      <c r="E19" s="1081"/>
      <c r="F19" s="872"/>
      <c r="G19" s="1079"/>
      <c r="H19" s="1080"/>
      <c r="I19" s="1080"/>
      <c r="J19" s="1080"/>
      <c r="K19" s="564"/>
      <c r="L19" s="564"/>
      <c r="M19" s="912"/>
      <c r="N19" s="564"/>
      <c r="O19" s="564"/>
      <c r="P19" s="656"/>
      <c r="Q19" s="896">
        <f t="shared" ref="Q19:Q42" si="0">L19+M19-N19</f>
        <v>0</v>
      </c>
      <c r="R19" s="758"/>
      <c r="S19" s="759"/>
      <c r="T19" s="95"/>
      <c r="V19" s="890"/>
      <c r="W19" s="822"/>
      <c r="X19" s="822"/>
      <c r="Y19" s="822"/>
      <c r="Z19" s="822"/>
      <c r="AA19" s="822"/>
      <c r="AB19" s="822"/>
      <c r="AC19" s="822"/>
      <c r="AD19" s="822"/>
      <c r="AE19" s="822"/>
      <c r="AF19" s="822"/>
      <c r="AG19" s="822"/>
      <c r="AH19" s="822"/>
      <c r="AI19" s="821"/>
    </row>
    <row r="20" spans="2:35" ht="23.1" customHeight="1">
      <c r="B20" s="105"/>
      <c r="C20" s="500"/>
      <c r="D20" s="873"/>
      <c r="E20" s="872"/>
      <c r="F20" s="872"/>
      <c r="G20" s="1079"/>
      <c r="H20" s="1080"/>
      <c r="I20" s="1080"/>
      <c r="J20" s="1080"/>
      <c r="K20" s="564"/>
      <c r="L20" s="564"/>
      <c r="M20" s="564"/>
      <c r="N20" s="564"/>
      <c r="O20" s="564"/>
      <c r="P20" s="656"/>
      <c r="Q20" s="896">
        <f t="shared" si="0"/>
        <v>0</v>
      </c>
      <c r="R20" s="758"/>
      <c r="S20" s="759"/>
      <c r="T20" s="95"/>
      <c r="V20" s="890"/>
      <c r="W20" s="822"/>
      <c r="X20" s="822"/>
      <c r="Y20" s="822"/>
      <c r="Z20" s="822"/>
      <c r="AA20" s="822"/>
      <c r="AB20" s="822"/>
      <c r="AC20" s="822"/>
      <c r="AD20" s="822"/>
      <c r="AE20" s="822"/>
      <c r="AF20" s="822"/>
      <c r="AG20" s="822"/>
      <c r="AH20" s="822"/>
      <c r="AI20" s="821"/>
    </row>
    <row r="21" spans="2:35" ht="23.1" customHeight="1">
      <c r="B21" s="105"/>
      <c r="C21" s="500"/>
      <c r="D21" s="873"/>
      <c r="E21" s="872"/>
      <c r="F21" s="872"/>
      <c r="G21" s="1079"/>
      <c r="H21" s="1080"/>
      <c r="I21" s="1080"/>
      <c r="J21" s="1080"/>
      <c r="K21" s="564"/>
      <c r="L21" s="564"/>
      <c r="M21" s="564"/>
      <c r="N21" s="564"/>
      <c r="O21" s="564"/>
      <c r="P21" s="656"/>
      <c r="Q21" s="896">
        <f t="shared" si="0"/>
        <v>0</v>
      </c>
      <c r="R21" s="758"/>
      <c r="S21" s="759"/>
      <c r="T21" s="95"/>
      <c r="V21" s="890"/>
      <c r="W21" s="822"/>
      <c r="X21" s="822"/>
      <c r="Y21" s="822"/>
      <c r="Z21" s="822"/>
      <c r="AA21" s="822"/>
      <c r="AB21" s="822"/>
      <c r="AC21" s="822"/>
      <c r="AD21" s="822"/>
      <c r="AE21" s="822"/>
      <c r="AF21" s="822"/>
      <c r="AG21" s="822"/>
      <c r="AH21" s="822"/>
      <c r="AI21" s="821"/>
    </row>
    <row r="22" spans="2:35" ht="23.1" customHeight="1">
      <c r="B22" s="105"/>
      <c r="C22" s="500"/>
      <c r="D22" s="497"/>
      <c r="E22" s="872"/>
      <c r="F22" s="872"/>
      <c r="G22" s="500"/>
      <c r="H22" s="556"/>
      <c r="I22" s="556"/>
      <c r="J22" s="556"/>
      <c r="K22" s="564"/>
      <c r="L22" s="564"/>
      <c r="M22" s="564"/>
      <c r="N22" s="564"/>
      <c r="O22" s="564"/>
      <c r="P22" s="656"/>
      <c r="Q22" s="896">
        <f t="shared" si="0"/>
        <v>0</v>
      </c>
      <c r="R22" s="758"/>
      <c r="S22" s="759"/>
      <c r="T22" s="95"/>
      <c r="V22" s="890"/>
      <c r="W22" s="822"/>
      <c r="X22" s="822"/>
      <c r="Y22" s="822"/>
      <c r="Z22" s="822"/>
      <c r="AA22" s="822"/>
      <c r="AB22" s="822"/>
      <c r="AC22" s="822"/>
      <c r="AD22" s="822"/>
      <c r="AE22" s="822"/>
      <c r="AF22" s="822"/>
      <c r="AG22" s="822"/>
      <c r="AH22" s="822"/>
      <c r="AI22" s="821"/>
    </row>
    <row r="23" spans="2:35" ht="23.1" customHeight="1">
      <c r="B23" s="105"/>
      <c r="C23" s="500"/>
      <c r="D23" s="497"/>
      <c r="E23" s="872"/>
      <c r="F23" s="872"/>
      <c r="G23" s="500"/>
      <c r="H23" s="556"/>
      <c r="I23" s="556"/>
      <c r="J23" s="556"/>
      <c r="K23" s="564"/>
      <c r="L23" s="564"/>
      <c r="M23" s="564"/>
      <c r="N23" s="564"/>
      <c r="O23" s="564"/>
      <c r="P23" s="656"/>
      <c r="Q23" s="896">
        <f t="shared" si="0"/>
        <v>0</v>
      </c>
      <c r="R23" s="758"/>
      <c r="S23" s="759"/>
      <c r="T23" s="95"/>
      <c r="V23" s="890"/>
      <c r="W23" s="822"/>
      <c r="X23" s="822"/>
      <c r="Y23" s="822"/>
      <c r="Z23" s="822"/>
      <c r="AA23" s="822"/>
      <c r="AB23" s="822"/>
      <c r="AC23" s="822"/>
      <c r="AD23" s="822"/>
      <c r="AE23" s="822"/>
      <c r="AF23" s="822"/>
      <c r="AG23" s="822"/>
      <c r="AH23" s="822"/>
      <c r="AI23" s="821"/>
    </row>
    <row r="24" spans="2:35" ht="23.1" customHeight="1">
      <c r="B24" s="105"/>
      <c r="C24" s="500"/>
      <c r="D24" s="497"/>
      <c r="E24" s="872"/>
      <c r="F24" s="872"/>
      <c r="G24" s="500"/>
      <c r="H24" s="556"/>
      <c r="I24" s="556"/>
      <c r="J24" s="556"/>
      <c r="K24" s="564"/>
      <c r="L24" s="564"/>
      <c r="M24" s="564"/>
      <c r="N24" s="564"/>
      <c r="O24" s="564"/>
      <c r="P24" s="656"/>
      <c r="Q24" s="896">
        <f t="shared" si="0"/>
        <v>0</v>
      </c>
      <c r="R24" s="758"/>
      <c r="S24" s="759"/>
      <c r="T24" s="95"/>
      <c r="V24" s="890"/>
      <c r="W24" s="822"/>
      <c r="X24" s="822"/>
      <c r="Y24" s="822"/>
      <c r="Z24" s="822"/>
      <c r="AA24" s="822"/>
      <c r="AB24" s="822"/>
      <c r="AC24" s="822"/>
      <c r="AD24" s="822"/>
      <c r="AE24" s="822"/>
      <c r="AF24" s="822"/>
      <c r="AG24" s="822"/>
      <c r="AH24" s="822"/>
      <c r="AI24" s="821"/>
    </row>
    <row r="25" spans="2:35" ht="23.1" customHeight="1">
      <c r="B25" s="105"/>
      <c r="C25" s="500"/>
      <c r="D25" s="497"/>
      <c r="E25" s="872"/>
      <c r="F25" s="872"/>
      <c r="G25" s="500"/>
      <c r="H25" s="556"/>
      <c r="I25" s="556"/>
      <c r="J25" s="556"/>
      <c r="K25" s="564"/>
      <c r="L25" s="564"/>
      <c r="M25" s="564"/>
      <c r="N25" s="564"/>
      <c r="O25" s="564"/>
      <c r="P25" s="656"/>
      <c r="Q25" s="896">
        <f t="shared" si="0"/>
        <v>0</v>
      </c>
      <c r="R25" s="758"/>
      <c r="S25" s="759"/>
      <c r="T25" s="95"/>
      <c r="V25" s="890"/>
      <c r="W25" s="822"/>
      <c r="X25" s="822"/>
      <c r="Y25" s="822"/>
      <c r="Z25" s="822"/>
      <c r="AA25" s="822"/>
      <c r="AB25" s="822"/>
      <c r="AC25" s="822"/>
      <c r="AD25" s="822"/>
      <c r="AE25" s="822"/>
      <c r="AF25" s="822"/>
      <c r="AG25" s="822"/>
      <c r="AH25" s="822"/>
      <c r="AI25" s="821"/>
    </row>
    <row r="26" spans="2:35" ht="23.1" customHeight="1">
      <c r="B26" s="105"/>
      <c r="C26" s="500"/>
      <c r="D26" s="497"/>
      <c r="E26" s="872"/>
      <c r="F26" s="872"/>
      <c r="G26" s="500"/>
      <c r="H26" s="556"/>
      <c r="I26" s="556"/>
      <c r="J26" s="556"/>
      <c r="K26" s="564"/>
      <c r="L26" s="564"/>
      <c r="M26" s="564"/>
      <c r="N26" s="564"/>
      <c r="O26" s="564"/>
      <c r="P26" s="656"/>
      <c r="Q26" s="896">
        <f t="shared" si="0"/>
        <v>0</v>
      </c>
      <c r="R26" s="758"/>
      <c r="S26" s="759"/>
      <c r="T26" s="95"/>
      <c r="V26" s="890"/>
      <c r="W26" s="822"/>
      <c r="X26" s="822"/>
      <c r="Y26" s="822"/>
      <c r="Z26" s="822"/>
      <c r="AA26" s="822"/>
      <c r="AB26" s="822"/>
      <c r="AC26" s="822"/>
      <c r="AD26" s="822"/>
      <c r="AE26" s="822"/>
      <c r="AF26" s="822"/>
      <c r="AG26" s="822"/>
      <c r="AH26" s="822"/>
      <c r="AI26" s="821"/>
    </row>
    <row r="27" spans="2:35" ht="23.1" customHeight="1">
      <c r="B27" s="105"/>
      <c r="C27" s="500"/>
      <c r="D27" s="497"/>
      <c r="E27" s="872"/>
      <c r="F27" s="872"/>
      <c r="G27" s="500"/>
      <c r="H27" s="556"/>
      <c r="I27" s="556"/>
      <c r="J27" s="556"/>
      <c r="K27" s="564"/>
      <c r="L27" s="564"/>
      <c r="M27" s="564"/>
      <c r="N27" s="564"/>
      <c r="O27" s="564"/>
      <c r="P27" s="656"/>
      <c r="Q27" s="896">
        <f t="shared" si="0"/>
        <v>0</v>
      </c>
      <c r="R27" s="758"/>
      <c r="S27" s="759"/>
      <c r="T27" s="95"/>
      <c r="V27" s="890"/>
      <c r="W27" s="822"/>
      <c r="X27" s="822"/>
      <c r="Y27" s="822"/>
      <c r="Z27" s="822"/>
      <c r="AA27" s="822"/>
      <c r="AB27" s="822"/>
      <c r="AC27" s="822"/>
      <c r="AD27" s="822"/>
      <c r="AE27" s="822"/>
      <c r="AF27" s="822"/>
      <c r="AG27" s="822"/>
      <c r="AH27" s="822"/>
      <c r="AI27" s="821"/>
    </row>
    <row r="28" spans="2:35" ht="23.1" customHeight="1">
      <c r="B28" s="105"/>
      <c r="C28" s="500"/>
      <c r="D28" s="497"/>
      <c r="E28" s="556"/>
      <c r="F28" s="556"/>
      <c r="G28" s="500"/>
      <c r="H28" s="556"/>
      <c r="I28" s="556"/>
      <c r="J28" s="556"/>
      <c r="K28" s="564"/>
      <c r="L28" s="564"/>
      <c r="M28" s="564"/>
      <c r="N28" s="564"/>
      <c r="O28" s="564"/>
      <c r="P28" s="656"/>
      <c r="Q28" s="896">
        <f t="shared" si="0"/>
        <v>0</v>
      </c>
      <c r="R28" s="758"/>
      <c r="S28" s="759"/>
      <c r="T28" s="95"/>
      <c r="V28" s="890"/>
      <c r="W28" s="822"/>
      <c r="X28" s="822"/>
      <c r="Y28" s="822"/>
      <c r="Z28" s="822"/>
      <c r="AA28" s="822"/>
      <c r="AB28" s="822"/>
      <c r="AC28" s="822"/>
      <c r="AD28" s="822"/>
      <c r="AE28" s="822"/>
      <c r="AF28" s="822"/>
      <c r="AG28" s="822"/>
      <c r="AH28" s="822"/>
      <c r="AI28" s="821"/>
    </row>
    <row r="29" spans="2:35" ht="23.1" customHeight="1">
      <c r="B29" s="105"/>
      <c r="C29" s="500"/>
      <c r="D29" s="497"/>
      <c r="E29" s="556"/>
      <c r="F29" s="556"/>
      <c r="G29" s="500"/>
      <c r="H29" s="556"/>
      <c r="I29" s="556"/>
      <c r="J29" s="556"/>
      <c r="K29" s="564"/>
      <c r="L29" s="564"/>
      <c r="M29" s="564"/>
      <c r="N29" s="564"/>
      <c r="O29" s="564"/>
      <c r="P29" s="656"/>
      <c r="Q29" s="896">
        <f t="shared" si="0"/>
        <v>0</v>
      </c>
      <c r="R29" s="758"/>
      <c r="S29" s="759"/>
      <c r="T29" s="95"/>
      <c r="V29" s="890"/>
      <c r="W29" s="822"/>
      <c r="X29" s="822"/>
      <c r="Y29" s="822"/>
      <c r="Z29" s="822"/>
      <c r="AA29" s="822"/>
      <c r="AB29" s="822"/>
      <c r="AC29" s="822"/>
      <c r="AD29" s="822"/>
      <c r="AE29" s="822"/>
      <c r="AF29" s="822"/>
      <c r="AG29" s="822"/>
      <c r="AH29" s="822"/>
      <c r="AI29" s="821"/>
    </row>
    <row r="30" spans="2:35" ht="23.1" customHeight="1">
      <c r="B30" s="105"/>
      <c r="C30" s="500"/>
      <c r="D30" s="497"/>
      <c r="E30" s="556"/>
      <c r="F30" s="556"/>
      <c r="G30" s="500"/>
      <c r="H30" s="556"/>
      <c r="I30" s="556"/>
      <c r="J30" s="556"/>
      <c r="K30" s="564"/>
      <c r="L30" s="564"/>
      <c r="M30" s="564"/>
      <c r="N30" s="564"/>
      <c r="O30" s="564"/>
      <c r="P30" s="656"/>
      <c r="Q30" s="896">
        <f t="shared" si="0"/>
        <v>0</v>
      </c>
      <c r="R30" s="758"/>
      <c r="S30" s="759"/>
      <c r="T30" s="95"/>
      <c r="V30" s="890"/>
      <c r="W30" s="822"/>
      <c r="X30" s="822"/>
      <c r="Y30" s="822"/>
      <c r="Z30" s="822"/>
      <c r="AA30" s="822"/>
      <c r="AB30" s="822"/>
      <c r="AC30" s="822"/>
      <c r="AD30" s="822"/>
      <c r="AE30" s="822"/>
      <c r="AF30" s="822"/>
      <c r="AG30" s="822"/>
      <c r="AH30" s="822"/>
      <c r="AI30" s="821"/>
    </row>
    <row r="31" spans="2:35" ht="23.1" customHeight="1">
      <c r="B31" s="105"/>
      <c r="C31" s="500"/>
      <c r="D31" s="497"/>
      <c r="E31" s="556"/>
      <c r="F31" s="556"/>
      <c r="G31" s="500"/>
      <c r="H31" s="556"/>
      <c r="I31" s="556"/>
      <c r="J31" s="556"/>
      <c r="K31" s="564"/>
      <c r="L31" s="564"/>
      <c r="M31" s="564"/>
      <c r="N31" s="564"/>
      <c r="O31" s="564"/>
      <c r="P31" s="656"/>
      <c r="Q31" s="896">
        <f t="shared" si="0"/>
        <v>0</v>
      </c>
      <c r="R31" s="758"/>
      <c r="S31" s="759"/>
      <c r="T31" s="95"/>
      <c r="V31" s="890"/>
      <c r="W31" s="822"/>
      <c r="X31" s="822"/>
      <c r="Y31" s="822"/>
      <c r="Z31" s="822"/>
      <c r="AA31" s="822"/>
      <c r="AB31" s="822"/>
      <c r="AC31" s="822"/>
      <c r="AD31" s="822"/>
      <c r="AE31" s="822"/>
      <c r="AF31" s="822"/>
      <c r="AG31" s="822"/>
      <c r="AH31" s="822"/>
      <c r="AI31" s="821"/>
    </row>
    <row r="32" spans="2:35" ht="23.1" customHeight="1">
      <c r="B32" s="105"/>
      <c r="C32" s="500"/>
      <c r="D32" s="497"/>
      <c r="E32" s="556"/>
      <c r="F32" s="556"/>
      <c r="G32" s="500"/>
      <c r="H32" s="556"/>
      <c r="I32" s="556"/>
      <c r="J32" s="556"/>
      <c r="K32" s="564"/>
      <c r="L32" s="564"/>
      <c r="M32" s="564"/>
      <c r="N32" s="564"/>
      <c r="O32" s="564"/>
      <c r="P32" s="656"/>
      <c r="Q32" s="896">
        <f t="shared" si="0"/>
        <v>0</v>
      </c>
      <c r="R32" s="758"/>
      <c r="S32" s="759"/>
      <c r="T32" s="95"/>
      <c r="V32" s="890"/>
      <c r="W32" s="822"/>
      <c r="X32" s="822"/>
      <c r="Y32" s="822"/>
      <c r="Z32" s="822"/>
      <c r="AA32" s="822"/>
      <c r="AB32" s="822"/>
      <c r="AC32" s="822"/>
      <c r="AD32" s="822"/>
      <c r="AE32" s="822"/>
      <c r="AF32" s="822"/>
      <c r="AG32" s="822"/>
      <c r="AH32" s="822"/>
      <c r="AI32" s="821"/>
    </row>
    <row r="33" spans="2:35" ht="23.1" customHeight="1">
      <c r="B33" s="105"/>
      <c r="C33" s="500"/>
      <c r="D33" s="497"/>
      <c r="E33" s="556"/>
      <c r="F33" s="556"/>
      <c r="G33" s="500"/>
      <c r="H33" s="556"/>
      <c r="I33" s="556"/>
      <c r="J33" s="556"/>
      <c r="K33" s="564"/>
      <c r="L33" s="564"/>
      <c r="M33" s="564"/>
      <c r="N33" s="564"/>
      <c r="O33" s="564"/>
      <c r="P33" s="656"/>
      <c r="Q33" s="896">
        <f>L33+M33-N33</f>
        <v>0</v>
      </c>
      <c r="R33" s="758"/>
      <c r="S33" s="759"/>
      <c r="T33" s="95"/>
      <c r="V33" s="890"/>
      <c r="W33" s="822"/>
      <c r="X33" s="822"/>
      <c r="Y33" s="822"/>
      <c r="Z33" s="822"/>
      <c r="AA33" s="822"/>
      <c r="AB33" s="822"/>
      <c r="AC33" s="822"/>
      <c r="AD33" s="822"/>
      <c r="AE33" s="822"/>
      <c r="AF33" s="822"/>
      <c r="AG33" s="822"/>
      <c r="AH33" s="822"/>
      <c r="AI33" s="821"/>
    </row>
    <row r="34" spans="2:35" ht="23.1" customHeight="1">
      <c r="B34" s="105"/>
      <c r="C34" s="500"/>
      <c r="D34" s="497"/>
      <c r="E34" s="556"/>
      <c r="F34" s="556"/>
      <c r="G34" s="500"/>
      <c r="H34" s="556"/>
      <c r="I34" s="556"/>
      <c r="J34" s="556"/>
      <c r="K34" s="564"/>
      <c r="L34" s="564"/>
      <c r="M34" s="564"/>
      <c r="N34" s="564"/>
      <c r="O34" s="564"/>
      <c r="P34" s="656"/>
      <c r="Q34" s="896">
        <f t="shared" si="0"/>
        <v>0</v>
      </c>
      <c r="R34" s="758"/>
      <c r="S34" s="759"/>
      <c r="T34" s="95"/>
      <c r="V34" s="890"/>
      <c r="W34" s="822"/>
      <c r="X34" s="822"/>
      <c r="Y34" s="822"/>
      <c r="Z34" s="822"/>
      <c r="AA34" s="822"/>
      <c r="AB34" s="822"/>
      <c r="AC34" s="822"/>
      <c r="AD34" s="822"/>
      <c r="AE34" s="822"/>
      <c r="AF34" s="822"/>
      <c r="AG34" s="822"/>
      <c r="AH34" s="822"/>
      <c r="AI34" s="821"/>
    </row>
    <row r="35" spans="2:35" ht="23.1" customHeight="1">
      <c r="B35" s="105"/>
      <c r="C35" s="500"/>
      <c r="D35" s="497"/>
      <c r="E35" s="556"/>
      <c r="F35" s="556"/>
      <c r="G35" s="500"/>
      <c r="H35" s="556"/>
      <c r="I35" s="556"/>
      <c r="J35" s="556"/>
      <c r="K35" s="564"/>
      <c r="L35" s="564"/>
      <c r="M35" s="564"/>
      <c r="N35" s="564"/>
      <c r="O35" s="564"/>
      <c r="P35" s="656"/>
      <c r="Q35" s="896">
        <f t="shared" si="0"/>
        <v>0</v>
      </c>
      <c r="R35" s="758"/>
      <c r="S35" s="759"/>
      <c r="T35" s="95"/>
      <c r="V35" s="890"/>
      <c r="W35" s="822"/>
      <c r="X35" s="822"/>
      <c r="Y35" s="822"/>
      <c r="Z35" s="822"/>
      <c r="AA35" s="822"/>
      <c r="AB35" s="822"/>
      <c r="AC35" s="822"/>
      <c r="AD35" s="822"/>
      <c r="AE35" s="822"/>
      <c r="AF35" s="822"/>
      <c r="AG35" s="822"/>
      <c r="AH35" s="822"/>
      <c r="AI35" s="821"/>
    </row>
    <row r="36" spans="2:35" ht="23.1" customHeight="1">
      <c r="B36" s="105"/>
      <c r="C36" s="500"/>
      <c r="D36" s="497"/>
      <c r="E36" s="556"/>
      <c r="F36" s="556"/>
      <c r="G36" s="500"/>
      <c r="H36" s="556"/>
      <c r="I36" s="556"/>
      <c r="J36" s="556"/>
      <c r="K36" s="564"/>
      <c r="L36" s="564"/>
      <c r="M36" s="564"/>
      <c r="N36" s="564"/>
      <c r="O36" s="564"/>
      <c r="P36" s="656"/>
      <c r="Q36" s="896">
        <f t="shared" si="0"/>
        <v>0</v>
      </c>
      <c r="R36" s="758"/>
      <c r="S36" s="759"/>
      <c r="T36" s="95"/>
      <c r="V36" s="890"/>
      <c r="W36" s="822"/>
      <c r="X36" s="822"/>
      <c r="Y36" s="822"/>
      <c r="Z36" s="822"/>
      <c r="AA36" s="822"/>
      <c r="AB36" s="822"/>
      <c r="AC36" s="822"/>
      <c r="AD36" s="822"/>
      <c r="AE36" s="822"/>
      <c r="AF36" s="822"/>
      <c r="AG36" s="822"/>
      <c r="AH36" s="822"/>
      <c r="AI36" s="821"/>
    </row>
    <row r="37" spans="2:35" ht="23.1" customHeight="1">
      <c r="B37" s="105"/>
      <c r="C37" s="500"/>
      <c r="D37" s="497"/>
      <c r="E37" s="556"/>
      <c r="F37" s="556"/>
      <c r="G37" s="500"/>
      <c r="H37" s="556"/>
      <c r="I37" s="556"/>
      <c r="J37" s="556"/>
      <c r="K37" s="564"/>
      <c r="L37" s="564"/>
      <c r="M37" s="564"/>
      <c r="N37" s="564"/>
      <c r="O37" s="564"/>
      <c r="P37" s="656"/>
      <c r="Q37" s="896">
        <f t="shared" si="0"/>
        <v>0</v>
      </c>
      <c r="R37" s="758"/>
      <c r="S37" s="759"/>
      <c r="T37" s="95"/>
      <c r="V37" s="890"/>
      <c r="W37" s="822"/>
      <c r="X37" s="822"/>
      <c r="Y37" s="822"/>
      <c r="Z37" s="822"/>
      <c r="AA37" s="822"/>
      <c r="AB37" s="822"/>
      <c r="AC37" s="822"/>
      <c r="AD37" s="822"/>
      <c r="AE37" s="822"/>
      <c r="AF37" s="822"/>
      <c r="AG37" s="822"/>
      <c r="AH37" s="822"/>
      <c r="AI37" s="821"/>
    </row>
    <row r="38" spans="2:35" ht="23.1" customHeight="1">
      <c r="B38" s="105"/>
      <c r="C38" s="500"/>
      <c r="D38" s="497"/>
      <c r="E38" s="556"/>
      <c r="F38" s="556"/>
      <c r="G38" s="500"/>
      <c r="H38" s="556"/>
      <c r="I38" s="556"/>
      <c r="J38" s="556"/>
      <c r="K38" s="564"/>
      <c r="L38" s="564"/>
      <c r="M38" s="564"/>
      <c r="N38" s="564"/>
      <c r="O38" s="564"/>
      <c r="P38" s="656"/>
      <c r="Q38" s="896">
        <f t="shared" si="0"/>
        <v>0</v>
      </c>
      <c r="R38" s="758"/>
      <c r="S38" s="759"/>
      <c r="T38" s="95"/>
      <c r="V38" s="890"/>
      <c r="W38" s="822"/>
      <c r="X38" s="822"/>
      <c r="Y38" s="822"/>
      <c r="Z38" s="822"/>
      <c r="AA38" s="822"/>
      <c r="AB38" s="822"/>
      <c r="AC38" s="822"/>
      <c r="AD38" s="822"/>
      <c r="AE38" s="822"/>
      <c r="AF38" s="822"/>
      <c r="AG38" s="822"/>
      <c r="AH38" s="822"/>
      <c r="AI38" s="821"/>
    </row>
    <row r="39" spans="2:35" ht="23.1" customHeight="1">
      <c r="B39" s="105"/>
      <c r="C39" s="500"/>
      <c r="D39" s="497"/>
      <c r="E39" s="556"/>
      <c r="F39" s="556"/>
      <c r="G39" s="500"/>
      <c r="H39" s="556"/>
      <c r="I39" s="556"/>
      <c r="J39" s="556"/>
      <c r="K39" s="564"/>
      <c r="L39" s="564"/>
      <c r="M39" s="564"/>
      <c r="N39" s="564"/>
      <c r="O39" s="564"/>
      <c r="P39" s="656"/>
      <c r="Q39" s="896">
        <f t="shared" si="0"/>
        <v>0</v>
      </c>
      <c r="R39" s="758"/>
      <c r="S39" s="759"/>
      <c r="T39" s="95"/>
      <c r="V39" s="890"/>
      <c r="W39" s="822"/>
      <c r="X39" s="822"/>
      <c r="Y39" s="822"/>
      <c r="Z39" s="822"/>
      <c r="AA39" s="822"/>
      <c r="AB39" s="822"/>
      <c r="AC39" s="822"/>
      <c r="AD39" s="822"/>
      <c r="AE39" s="822"/>
      <c r="AF39" s="822"/>
      <c r="AG39" s="822"/>
      <c r="AH39" s="822"/>
      <c r="AI39" s="821"/>
    </row>
    <row r="40" spans="2:35" ht="23.1" customHeight="1">
      <c r="B40" s="105"/>
      <c r="C40" s="500"/>
      <c r="D40" s="497"/>
      <c r="E40" s="556"/>
      <c r="F40" s="556"/>
      <c r="G40" s="500"/>
      <c r="H40" s="556"/>
      <c r="I40" s="556"/>
      <c r="J40" s="556"/>
      <c r="K40" s="564"/>
      <c r="L40" s="564"/>
      <c r="M40" s="564"/>
      <c r="N40" s="564"/>
      <c r="O40" s="564"/>
      <c r="P40" s="656"/>
      <c r="Q40" s="896">
        <f t="shared" si="0"/>
        <v>0</v>
      </c>
      <c r="R40" s="758"/>
      <c r="S40" s="759"/>
      <c r="T40" s="95"/>
      <c r="V40" s="890"/>
      <c r="W40" s="822"/>
      <c r="X40" s="822"/>
      <c r="Y40" s="822"/>
      <c r="Z40" s="822"/>
      <c r="AA40" s="822"/>
      <c r="AB40" s="822"/>
      <c r="AC40" s="822"/>
      <c r="AD40" s="822"/>
      <c r="AE40" s="822"/>
      <c r="AF40" s="822"/>
      <c r="AG40" s="822"/>
      <c r="AH40" s="822"/>
      <c r="AI40" s="821"/>
    </row>
    <row r="41" spans="2:35" ht="23.1" customHeight="1">
      <c r="B41" s="105"/>
      <c r="C41" s="500"/>
      <c r="D41" s="498"/>
      <c r="E41" s="557"/>
      <c r="F41" s="557"/>
      <c r="G41" s="501"/>
      <c r="H41" s="557"/>
      <c r="I41" s="557"/>
      <c r="J41" s="557"/>
      <c r="K41" s="565"/>
      <c r="L41" s="565"/>
      <c r="M41" s="565"/>
      <c r="N41" s="565"/>
      <c r="O41" s="565"/>
      <c r="P41" s="657"/>
      <c r="Q41" s="897">
        <f>L41+M41-N41</f>
        <v>0</v>
      </c>
      <c r="R41" s="758"/>
      <c r="S41" s="759"/>
      <c r="T41" s="95"/>
      <c r="V41" s="890"/>
      <c r="W41" s="822"/>
      <c r="X41" s="822"/>
      <c r="Y41" s="822"/>
      <c r="Z41" s="822"/>
      <c r="AA41" s="822"/>
      <c r="AB41" s="822"/>
      <c r="AC41" s="822"/>
      <c r="AD41" s="822"/>
      <c r="AE41" s="822"/>
      <c r="AF41" s="822"/>
      <c r="AG41" s="822"/>
      <c r="AH41" s="822"/>
      <c r="AI41" s="821"/>
    </row>
    <row r="42" spans="2:35" ht="23.1" customHeight="1">
      <c r="B42" s="105"/>
      <c r="C42" s="502"/>
      <c r="D42" s="499"/>
      <c r="E42" s="558"/>
      <c r="F42" s="558"/>
      <c r="G42" s="502"/>
      <c r="H42" s="558"/>
      <c r="I42" s="558"/>
      <c r="J42" s="558"/>
      <c r="K42" s="566"/>
      <c r="L42" s="566"/>
      <c r="M42" s="566"/>
      <c r="N42" s="566"/>
      <c r="O42" s="566"/>
      <c r="P42" s="658"/>
      <c r="Q42" s="898">
        <f t="shared" si="0"/>
        <v>0</v>
      </c>
      <c r="R42" s="760"/>
      <c r="S42" s="761"/>
      <c r="T42" s="95"/>
      <c r="V42" s="890"/>
      <c r="W42" s="822"/>
      <c r="X42" s="822"/>
      <c r="Y42" s="822"/>
      <c r="Z42" s="822"/>
      <c r="AA42" s="822"/>
      <c r="AB42" s="822"/>
      <c r="AC42" s="822"/>
      <c r="AD42" s="822"/>
      <c r="AE42" s="822"/>
      <c r="AF42" s="822"/>
      <c r="AG42" s="822"/>
      <c r="AH42" s="822"/>
      <c r="AI42" s="821"/>
    </row>
    <row r="43" spans="2:35" ht="23.1" customHeight="1" thickBot="1">
      <c r="B43" s="105"/>
      <c r="C43" s="202"/>
      <c r="D43" s="202"/>
      <c r="E43" s="203"/>
      <c r="F43" s="203"/>
      <c r="G43" s="203"/>
      <c r="H43" s="1230" t="s">
        <v>476</v>
      </c>
      <c r="I43" s="1231"/>
      <c r="J43" s="1232"/>
      <c r="K43" s="224">
        <f t="shared" ref="K43:S43" si="1">SUM(K18:K42)</f>
        <v>0</v>
      </c>
      <c r="L43" s="215">
        <f t="shared" si="1"/>
        <v>0</v>
      </c>
      <c r="M43" s="223">
        <f t="shared" si="1"/>
        <v>0</v>
      </c>
      <c r="N43" s="223">
        <f t="shared" si="1"/>
        <v>0</v>
      </c>
      <c r="O43" s="224">
        <f t="shared" si="1"/>
        <v>0</v>
      </c>
      <c r="P43" s="224">
        <f t="shared" si="1"/>
        <v>0</v>
      </c>
      <c r="Q43" s="899">
        <f t="shared" si="1"/>
        <v>0</v>
      </c>
      <c r="R43" s="223">
        <f t="shared" si="1"/>
        <v>0</v>
      </c>
      <c r="S43" s="161">
        <f t="shared" si="1"/>
        <v>0</v>
      </c>
      <c r="T43" s="95"/>
      <c r="V43" s="900"/>
      <c r="W43" s="822"/>
      <c r="X43" s="822"/>
      <c r="Y43" s="822"/>
      <c r="Z43" s="822"/>
      <c r="AA43" s="822"/>
      <c r="AB43" s="822"/>
      <c r="AC43" s="822"/>
      <c r="AD43" s="822"/>
      <c r="AE43" s="822"/>
      <c r="AF43" s="822"/>
      <c r="AG43" s="822"/>
      <c r="AH43" s="822"/>
      <c r="AI43" s="821"/>
    </row>
    <row r="44" spans="2:35" ht="23.1" customHeight="1">
      <c r="B44" s="105"/>
      <c r="C44" s="202"/>
      <c r="D44" s="202"/>
      <c r="E44" s="203"/>
      <c r="F44" s="203"/>
      <c r="G44" s="203"/>
      <c r="H44" s="692"/>
      <c r="I44" s="692"/>
      <c r="J44" s="692"/>
      <c r="K44" s="203"/>
      <c r="L44" s="203"/>
      <c r="M44" s="203"/>
      <c r="N44" s="203"/>
      <c r="O44" s="203"/>
      <c r="P44" s="203"/>
      <c r="Q44" s="203"/>
      <c r="R44" s="203"/>
      <c r="S44" s="203"/>
      <c r="T44" s="95"/>
      <c r="V44" s="900"/>
      <c r="W44" s="822"/>
      <c r="X44" s="822"/>
      <c r="Y44" s="822"/>
      <c r="Z44" s="822"/>
      <c r="AA44" s="822"/>
      <c r="AB44" s="822"/>
      <c r="AC44" s="822"/>
      <c r="AD44" s="822"/>
      <c r="AE44" s="822"/>
      <c r="AF44" s="822"/>
      <c r="AG44" s="822"/>
      <c r="AH44" s="822"/>
      <c r="AI44" s="821"/>
    </row>
    <row r="45" spans="2:35" ht="23.1" customHeight="1">
      <c r="B45" s="105"/>
      <c r="C45" s="55" t="s">
        <v>832</v>
      </c>
      <c r="D45" s="141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95"/>
      <c r="V45" s="890"/>
      <c r="W45" s="822"/>
      <c r="X45" s="822"/>
      <c r="Y45" s="822"/>
      <c r="Z45" s="822"/>
      <c r="AA45" s="822"/>
      <c r="AB45" s="822"/>
      <c r="AC45" s="822"/>
      <c r="AD45" s="822"/>
      <c r="AE45" s="822"/>
      <c r="AF45" s="822"/>
      <c r="AG45" s="822"/>
      <c r="AH45" s="822"/>
      <c r="AI45" s="821"/>
    </row>
    <row r="46" spans="2:35" ht="23.1" customHeight="1">
      <c r="B46" s="105"/>
      <c r="C46" s="141"/>
      <c r="D46" s="141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95"/>
      <c r="V46" s="890"/>
      <c r="W46" s="822"/>
      <c r="X46" s="822"/>
      <c r="Y46" s="822"/>
      <c r="Z46" s="822"/>
      <c r="AA46" s="822"/>
      <c r="AB46" s="822"/>
      <c r="AC46" s="822"/>
      <c r="AD46" s="822"/>
      <c r="AE46" s="822"/>
      <c r="AF46" s="822"/>
      <c r="AG46" s="822"/>
      <c r="AH46" s="822"/>
      <c r="AI46" s="821"/>
    </row>
    <row r="47" spans="2:35" ht="23.1" customHeight="1">
      <c r="B47" s="105"/>
      <c r="C47" s="141"/>
      <c r="D47" s="141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95"/>
      <c r="V47" s="890"/>
      <c r="W47" s="822"/>
      <c r="X47" s="822"/>
      <c r="Y47" s="822"/>
      <c r="Z47" s="822"/>
      <c r="AA47" s="822"/>
      <c r="AB47" s="822"/>
      <c r="AC47" s="822"/>
      <c r="AD47" s="822"/>
      <c r="AE47" s="822"/>
      <c r="AF47" s="822"/>
      <c r="AG47" s="822"/>
      <c r="AH47" s="822"/>
      <c r="AI47" s="821"/>
    </row>
    <row r="48" spans="2:35" ht="42" customHeight="1">
      <c r="B48" s="105"/>
      <c r="C48" s="183" t="s">
        <v>469</v>
      </c>
      <c r="D48" s="230" t="s">
        <v>471</v>
      </c>
      <c r="E48" s="183" t="s">
        <v>677</v>
      </c>
      <c r="F48" s="183" t="s">
        <v>677</v>
      </c>
      <c r="G48" s="183" t="s">
        <v>473</v>
      </c>
      <c r="H48" s="183" t="s">
        <v>477</v>
      </c>
      <c r="I48" s="183" t="s">
        <v>479</v>
      </c>
      <c r="J48" s="183" t="s">
        <v>730</v>
      </c>
      <c r="K48" s="183" t="s">
        <v>475</v>
      </c>
      <c r="L48" s="183" t="s">
        <v>679</v>
      </c>
      <c r="M48" s="892" t="s">
        <v>690</v>
      </c>
      <c r="N48" s="183" t="s">
        <v>1008</v>
      </c>
      <c r="O48" s="183" t="s">
        <v>1009</v>
      </c>
      <c r="P48" s="893" t="s">
        <v>1010</v>
      </c>
      <c r="Q48" s="183" t="s">
        <v>679</v>
      </c>
      <c r="R48" s="1205" t="s">
        <v>1011</v>
      </c>
      <c r="S48" s="1206"/>
      <c r="T48" s="95"/>
      <c r="V48" s="890"/>
      <c r="W48" s="822"/>
      <c r="X48" s="822"/>
      <c r="Y48" s="822"/>
      <c r="Z48" s="822"/>
      <c r="AA48" s="822"/>
      <c r="AB48" s="822"/>
      <c r="AC48" s="822"/>
      <c r="AD48" s="822"/>
      <c r="AE48" s="822"/>
      <c r="AF48" s="822"/>
      <c r="AG48" s="822"/>
      <c r="AH48" s="822"/>
      <c r="AI48" s="821"/>
    </row>
    <row r="49" spans="2:35" ht="23.1" customHeight="1">
      <c r="B49" s="105"/>
      <c r="C49" s="234" t="s">
        <v>470</v>
      </c>
      <c r="D49" s="235" t="s">
        <v>470</v>
      </c>
      <c r="E49" s="234" t="s">
        <v>472</v>
      </c>
      <c r="F49" s="234" t="s">
        <v>678</v>
      </c>
      <c r="G49" s="234" t="s">
        <v>833</v>
      </c>
      <c r="H49" s="234" t="s">
        <v>478</v>
      </c>
      <c r="I49" s="234" t="s">
        <v>715</v>
      </c>
      <c r="J49" s="234" t="s">
        <v>758</v>
      </c>
      <c r="K49" s="234" t="s">
        <v>1007</v>
      </c>
      <c r="L49" s="234">
        <f>ejercicio-1</f>
        <v>2018</v>
      </c>
      <c r="M49" s="234">
        <f>ejercicio</f>
        <v>2019</v>
      </c>
      <c r="N49" s="234">
        <f>ejercicio</f>
        <v>2019</v>
      </c>
      <c r="O49" s="234">
        <f>ejercicio</f>
        <v>2019</v>
      </c>
      <c r="P49" s="234">
        <f>ejercicio</f>
        <v>2019</v>
      </c>
      <c r="Q49" s="234">
        <f>ejercicio</f>
        <v>2019</v>
      </c>
      <c r="R49" s="894" t="s">
        <v>680</v>
      </c>
      <c r="S49" s="895" t="s">
        <v>681</v>
      </c>
      <c r="T49" s="95"/>
      <c r="V49" s="890"/>
      <c r="W49" s="822"/>
      <c r="X49" s="822"/>
      <c r="Y49" s="822"/>
      <c r="Z49" s="822"/>
      <c r="AA49" s="822"/>
      <c r="AB49" s="822"/>
      <c r="AC49" s="822"/>
      <c r="AD49" s="822"/>
      <c r="AE49" s="822"/>
      <c r="AF49" s="822"/>
      <c r="AG49" s="822"/>
      <c r="AH49" s="822"/>
      <c r="AI49" s="821"/>
    </row>
    <row r="50" spans="2:35" ht="23.1" customHeight="1">
      <c r="B50" s="105"/>
      <c r="C50" s="500"/>
      <c r="D50" s="873"/>
      <c r="E50" s="556"/>
      <c r="F50" s="556"/>
      <c r="G50" s="1079"/>
      <c r="H50" s="556"/>
      <c r="I50" s="1080"/>
      <c r="J50" s="700"/>
      <c r="K50" s="564"/>
      <c r="L50" s="564"/>
      <c r="M50" s="701"/>
      <c r="N50" s="701"/>
      <c r="O50" s="701"/>
      <c r="P50" s="656"/>
      <c r="Q50" s="901">
        <f>L50+M50-N50</f>
        <v>0</v>
      </c>
      <c r="R50" s="756"/>
      <c r="S50" s="757"/>
      <c r="T50" s="95"/>
      <c r="V50" s="890"/>
      <c r="W50" s="822"/>
      <c r="X50" s="822"/>
      <c r="Y50" s="822"/>
      <c r="Z50" s="822"/>
      <c r="AA50" s="822"/>
      <c r="AB50" s="822"/>
      <c r="AC50" s="822"/>
      <c r="AD50" s="822"/>
      <c r="AE50" s="822"/>
      <c r="AF50" s="822"/>
      <c r="AG50" s="822"/>
      <c r="AH50" s="822"/>
      <c r="AI50" s="821"/>
    </row>
    <row r="51" spans="2:35" ht="23.1" customHeight="1">
      <c r="B51" s="105"/>
      <c r="C51" s="500"/>
      <c r="D51" s="873"/>
      <c r="E51" s="556"/>
      <c r="F51" s="556"/>
      <c r="G51" s="1079"/>
      <c r="H51" s="1080"/>
      <c r="I51" s="1080"/>
      <c r="J51" s="1080"/>
      <c r="K51" s="564"/>
      <c r="L51" s="564"/>
      <c r="M51" s="564"/>
      <c r="N51" s="564"/>
      <c r="O51" s="564"/>
      <c r="P51" s="656"/>
      <c r="Q51" s="896">
        <f t="shared" ref="Q51:Q74" si="2">L51+M51-N51</f>
        <v>0</v>
      </c>
      <c r="R51" s="758"/>
      <c r="S51" s="759"/>
      <c r="T51" s="95"/>
      <c r="V51" s="890"/>
      <c r="W51" s="822"/>
      <c r="X51" s="822"/>
      <c r="Y51" s="822"/>
      <c r="Z51" s="822"/>
      <c r="AA51" s="822"/>
      <c r="AB51" s="822"/>
      <c r="AC51" s="822"/>
      <c r="AD51" s="822"/>
      <c r="AE51" s="822"/>
      <c r="AF51" s="822"/>
      <c r="AG51" s="822"/>
      <c r="AH51" s="822"/>
      <c r="AI51" s="821"/>
    </row>
    <row r="52" spans="2:35" ht="23.1" customHeight="1">
      <c r="B52" s="105"/>
      <c r="C52" s="500"/>
      <c r="D52" s="873"/>
      <c r="E52" s="556"/>
      <c r="F52" s="556"/>
      <c r="G52" s="1079"/>
      <c r="H52" s="556"/>
      <c r="I52" s="1080"/>
      <c r="J52" s="1080"/>
      <c r="K52" s="564"/>
      <c r="L52" s="564"/>
      <c r="M52" s="564"/>
      <c r="N52" s="564"/>
      <c r="O52" s="564"/>
      <c r="P52" s="656"/>
      <c r="Q52" s="896">
        <f t="shared" si="2"/>
        <v>0</v>
      </c>
      <c r="R52" s="758"/>
      <c r="S52" s="759"/>
      <c r="T52" s="95"/>
      <c r="V52" s="890"/>
      <c r="W52" s="822"/>
      <c r="X52" s="822"/>
      <c r="Y52" s="822"/>
      <c r="Z52" s="822"/>
      <c r="AA52" s="822"/>
      <c r="AB52" s="822"/>
      <c r="AC52" s="822"/>
      <c r="AD52" s="822"/>
      <c r="AE52" s="822"/>
      <c r="AF52" s="822"/>
      <c r="AG52" s="822"/>
      <c r="AH52" s="822"/>
      <c r="AI52" s="821"/>
    </row>
    <row r="53" spans="2:35" ht="23.1" customHeight="1">
      <c r="B53" s="105"/>
      <c r="C53" s="500">
        <v>3</v>
      </c>
      <c r="D53" s="873" t="s">
        <v>1055</v>
      </c>
      <c r="E53" s="556"/>
      <c r="F53" s="556"/>
      <c r="G53" s="1079" t="s">
        <v>1056</v>
      </c>
      <c r="H53" s="556">
        <v>560</v>
      </c>
      <c r="I53" s="1080" t="s">
        <v>1054</v>
      </c>
      <c r="J53" s="1080" t="s">
        <v>1054</v>
      </c>
      <c r="K53" s="564">
        <v>1050</v>
      </c>
      <c r="L53" s="564">
        <v>1050</v>
      </c>
      <c r="M53" s="564"/>
      <c r="N53" s="564"/>
      <c r="O53" s="564"/>
      <c r="P53" s="656"/>
      <c r="Q53" s="896">
        <f t="shared" si="2"/>
        <v>1050</v>
      </c>
      <c r="R53" s="758">
        <v>1050</v>
      </c>
      <c r="S53" s="759"/>
      <c r="T53" s="95"/>
      <c r="V53" s="890"/>
      <c r="W53" s="822"/>
      <c r="X53" s="822"/>
      <c r="Y53" s="822"/>
      <c r="Z53" s="822"/>
      <c r="AA53" s="822"/>
      <c r="AB53" s="822"/>
      <c r="AC53" s="822"/>
      <c r="AD53" s="822"/>
      <c r="AE53" s="822"/>
      <c r="AF53" s="822"/>
      <c r="AG53" s="822"/>
      <c r="AH53" s="822"/>
      <c r="AI53" s="821"/>
    </row>
    <row r="54" spans="2:35" ht="23.1" customHeight="1">
      <c r="B54" s="105"/>
      <c r="C54" s="500">
        <v>4</v>
      </c>
      <c r="D54" s="873" t="s">
        <v>1055</v>
      </c>
      <c r="E54" s="556"/>
      <c r="F54" s="556"/>
      <c r="G54" s="1079" t="s">
        <v>1057</v>
      </c>
      <c r="H54" s="556">
        <v>560</v>
      </c>
      <c r="I54" s="1080" t="s">
        <v>1054</v>
      </c>
      <c r="J54" s="1080" t="s">
        <v>1054</v>
      </c>
      <c r="K54" s="564">
        <v>1000</v>
      </c>
      <c r="L54" s="564">
        <v>1000</v>
      </c>
      <c r="M54" s="564"/>
      <c r="N54" s="564"/>
      <c r="O54" s="564"/>
      <c r="P54" s="656"/>
      <c r="Q54" s="896">
        <f t="shared" si="2"/>
        <v>1000</v>
      </c>
      <c r="R54" s="758">
        <v>1000</v>
      </c>
      <c r="S54" s="759"/>
      <c r="T54" s="95"/>
      <c r="V54" s="890"/>
      <c r="W54" s="822"/>
      <c r="X54" s="822"/>
      <c r="Y54" s="822"/>
      <c r="Z54" s="822"/>
      <c r="AA54" s="822"/>
      <c r="AB54" s="822"/>
      <c r="AC54" s="822"/>
      <c r="AD54" s="822"/>
      <c r="AE54" s="822"/>
      <c r="AF54" s="822"/>
      <c r="AG54" s="822"/>
      <c r="AH54" s="822"/>
      <c r="AI54" s="821"/>
    </row>
    <row r="55" spans="2:35" ht="23.1" customHeight="1">
      <c r="B55" s="105"/>
      <c r="C55" s="500"/>
      <c r="D55" s="497"/>
      <c r="E55" s="556"/>
      <c r="F55" s="556"/>
      <c r="G55" s="500"/>
      <c r="H55" s="556"/>
      <c r="I55" s="556"/>
      <c r="J55" s="556"/>
      <c r="K55" s="564"/>
      <c r="L55" s="564"/>
      <c r="M55" s="564"/>
      <c r="N55" s="564"/>
      <c r="O55" s="564"/>
      <c r="P55" s="656"/>
      <c r="Q55" s="896">
        <f t="shared" si="2"/>
        <v>0</v>
      </c>
      <c r="R55" s="758"/>
      <c r="S55" s="759"/>
      <c r="T55" s="95"/>
      <c r="V55" s="890"/>
      <c r="W55" s="822"/>
      <c r="X55" s="822"/>
      <c r="Y55" s="822"/>
      <c r="Z55" s="822"/>
      <c r="AA55" s="822"/>
      <c r="AB55" s="822"/>
      <c r="AC55" s="822"/>
      <c r="AD55" s="822"/>
      <c r="AE55" s="822"/>
      <c r="AF55" s="822"/>
      <c r="AG55" s="822"/>
      <c r="AH55" s="822"/>
      <c r="AI55" s="821"/>
    </row>
    <row r="56" spans="2:35" ht="23.1" customHeight="1">
      <c r="B56" s="105"/>
      <c r="C56" s="500"/>
      <c r="D56" s="497"/>
      <c r="E56" s="556"/>
      <c r="F56" s="556"/>
      <c r="G56" s="500"/>
      <c r="H56" s="556"/>
      <c r="I56" s="556"/>
      <c r="J56" s="556"/>
      <c r="K56" s="564"/>
      <c r="L56" s="564"/>
      <c r="M56" s="564"/>
      <c r="N56" s="564"/>
      <c r="O56" s="564"/>
      <c r="P56" s="656"/>
      <c r="Q56" s="896">
        <f t="shared" si="2"/>
        <v>0</v>
      </c>
      <c r="R56" s="758"/>
      <c r="S56" s="759"/>
      <c r="T56" s="95"/>
      <c r="V56" s="890"/>
      <c r="W56" s="822"/>
      <c r="X56" s="822"/>
      <c r="Y56" s="822"/>
      <c r="Z56" s="822"/>
      <c r="AA56" s="822"/>
      <c r="AB56" s="822"/>
      <c r="AC56" s="822"/>
      <c r="AD56" s="822"/>
      <c r="AE56" s="822"/>
      <c r="AF56" s="822"/>
      <c r="AG56" s="822"/>
      <c r="AH56" s="822"/>
      <c r="AI56" s="821"/>
    </row>
    <row r="57" spans="2:35" ht="23.1" customHeight="1">
      <c r="B57" s="105"/>
      <c r="C57" s="500"/>
      <c r="D57" s="497"/>
      <c r="E57" s="556"/>
      <c r="F57" s="556"/>
      <c r="G57" s="500"/>
      <c r="H57" s="556"/>
      <c r="I57" s="556"/>
      <c r="J57" s="556"/>
      <c r="K57" s="564"/>
      <c r="L57" s="564"/>
      <c r="M57" s="564"/>
      <c r="N57" s="564"/>
      <c r="O57" s="564"/>
      <c r="P57" s="656"/>
      <c r="Q57" s="896">
        <f t="shared" si="2"/>
        <v>0</v>
      </c>
      <c r="R57" s="758"/>
      <c r="S57" s="759"/>
      <c r="T57" s="95"/>
      <c r="V57" s="890"/>
      <c r="W57" s="822"/>
      <c r="X57" s="822"/>
      <c r="Y57" s="822"/>
      <c r="Z57" s="822"/>
      <c r="AA57" s="822"/>
      <c r="AB57" s="822"/>
      <c r="AC57" s="822"/>
      <c r="AD57" s="822"/>
      <c r="AE57" s="822"/>
      <c r="AF57" s="822"/>
      <c r="AG57" s="822"/>
      <c r="AH57" s="822"/>
      <c r="AI57" s="821"/>
    </row>
    <row r="58" spans="2:35" ht="23.1" customHeight="1">
      <c r="B58" s="105"/>
      <c r="C58" s="500"/>
      <c r="D58" s="497"/>
      <c r="E58" s="556"/>
      <c r="F58" s="556"/>
      <c r="G58" s="500"/>
      <c r="H58" s="556"/>
      <c r="I58" s="556"/>
      <c r="J58" s="556"/>
      <c r="K58" s="564"/>
      <c r="L58" s="564"/>
      <c r="M58" s="564"/>
      <c r="N58" s="564"/>
      <c r="O58" s="564"/>
      <c r="P58" s="656"/>
      <c r="Q58" s="896">
        <f t="shared" si="2"/>
        <v>0</v>
      </c>
      <c r="R58" s="758"/>
      <c r="S58" s="759"/>
      <c r="T58" s="95"/>
      <c r="V58" s="890"/>
      <c r="W58" s="822"/>
      <c r="X58" s="822"/>
      <c r="Y58" s="822"/>
      <c r="Z58" s="822"/>
      <c r="AA58" s="822"/>
      <c r="AB58" s="822"/>
      <c r="AC58" s="822"/>
      <c r="AD58" s="822"/>
      <c r="AE58" s="822"/>
      <c r="AF58" s="822"/>
      <c r="AG58" s="822"/>
      <c r="AH58" s="822"/>
      <c r="AI58" s="821"/>
    </row>
    <row r="59" spans="2:35" ht="23.1" customHeight="1">
      <c r="B59" s="105"/>
      <c r="C59" s="500"/>
      <c r="D59" s="497"/>
      <c r="E59" s="556"/>
      <c r="F59" s="556"/>
      <c r="G59" s="500"/>
      <c r="H59" s="556"/>
      <c r="I59" s="556"/>
      <c r="J59" s="556"/>
      <c r="K59" s="564"/>
      <c r="L59" s="564"/>
      <c r="M59" s="564"/>
      <c r="N59" s="564"/>
      <c r="O59" s="564"/>
      <c r="P59" s="656"/>
      <c r="Q59" s="896">
        <f t="shared" si="2"/>
        <v>0</v>
      </c>
      <c r="R59" s="758"/>
      <c r="S59" s="759"/>
      <c r="T59" s="95"/>
      <c r="V59" s="890"/>
      <c r="W59" s="822"/>
      <c r="X59" s="822"/>
      <c r="Y59" s="822"/>
      <c r="Z59" s="822"/>
      <c r="AA59" s="822"/>
      <c r="AB59" s="822"/>
      <c r="AC59" s="822"/>
      <c r="AD59" s="822"/>
      <c r="AE59" s="822"/>
      <c r="AF59" s="822"/>
      <c r="AG59" s="822"/>
      <c r="AH59" s="822"/>
      <c r="AI59" s="821"/>
    </row>
    <row r="60" spans="2:35" ht="23.1" customHeight="1">
      <c r="B60" s="105"/>
      <c r="C60" s="500"/>
      <c r="D60" s="497"/>
      <c r="E60" s="556"/>
      <c r="F60" s="556"/>
      <c r="G60" s="500"/>
      <c r="H60" s="556"/>
      <c r="I60" s="556"/>
      <c r="J60" s="556"/>
      <c r="K60" s="564"/>
      <c r="L60" s="564"/>
      <c r="M60" s="564"/>
      <c r="N60" s="564"/>
      <c r="O60" s="564"/>
      <c r="P60" s="656"/>
      <c r="Q60" s="896">
        <f t="shared" si="2"/>
        <v>0</v>
      </c>
      <c r="R60" s="758"/>
      <c r="S60" s="759"/>
      <c r="T60" s="95"/>
      <c r="V60" s="890"/>
      <c r="W60" s="822"/>
      <c r="X60" s="822"/>
      <c r="Y60" s="822"/>
      <c r="Z60" s="822"/>
      <c r="AA60" s="822"/>
      <c r="AB60" s="822"/>
      <c r="AC60" s="822"/>
      <c r="AD60" s="822"/>
      <c r="AE60" s="822"/>
      <c r="AF60" s="822"/>
      <c r="AG60" s="822"/>
      <c r="AH60" s="822"/>
      <c r="AI60" s="821"/>
    </row>
    <row r="61" spans="2:35" ht="23.1" customHeight="1">
      <c r="B61" s="105"/>
      <c r="C61" s="500"/>
      <c r="D61" s="497"/>
      <c r="E61" s="556"/>
      <c r="F61" s="556"/>
      <c r="G61" s="500"/>
      <c r="H61" s="556"/>
      <c r="I61" s="556"/>
      <c r="J61" s="556"/>
      <c r="K61" s="564"/>
      <c r="L61" s="564"/>
      <c r="M61" s="564"/>
      <c r="N61" s="564"/>
      <c r="O61" s="564"/>
      <c r="P61" s="656"/>
      <c r="Q61" s="896">
        <f t="shared" si="2"/>
        <v>0</v>
      </c>
      <c r="R61" s="758"/>
      <c r="S61" s="759"/>
      <c r="T61" s="95"/>
      <c r="V61" s="890"/>
      <c r="W61" s="822"/>
      <c r="X61" s="822"/>
      <c r="Y61" s="822"/>
      <c r="Z61" s="822"/>
      <c r="AA61" s="822"/>
      <c r="AB61" s="822"/>
      <c r="AC61" s="822"/>
      <c r="AD61" s="822"/>
      <c r="AE61" s="822"/>
      <c r="AF61" s="822"/>
      <c r="AG61" s="822"/>
      <c r="AH61" s="822"/>
      <c r="AI61" s="821"/>
    </row>
    <row r="62" spans="2:35" ht="23.1" customHeight="1">
      <c r="B62" s="105"/>
      <c r="C62" s="500"/>
      <c r="D62" s="497"/>
      <c r="E62" s="556"/>
      <c r="F62" s="556"/>
      <c r="G62" s="500"/>
      <c r="H62" s="556"/>
      <c r="I62" s="556"/>
      <c r="J62" s="556"/>
      <c r="K62" s="564"/>
      <c r="L62" s="564"/>
      <c r="M62" s="564"/>
      <c r="N62" s="564"/>
      <c r="O62" s="564"/>
      <c r="P62" s="656"/>
      <c r="Q62" s="896">
        <f t="shared" si="2"/>
        <v>0</v>
      </c>
      <c r="R62" s="758"/>
      <c r="S62" s="759"/>
      <c r="T62" s="95"/>
      <c r="V62" s="890"/>
      <c r="W62" s="822"/>
      <c r="X62" s="822"/>
      <c r="Y62" s="822"/>
      <c r="Z62" s="822"/>
      <c r="AA62" s="822"/>
      <c r="AB62" s="822"/>
      <c r="AC62" s="822"/>
      <c r="AD62" s="822"/>
      <c r="AE62" s="822"/>
      <c r="AF62" s="822"/>
      <c r="AG62" s="822"/>
      <c r="AH62" s="822"/>
      <c r="AI62" s="821"/>
    </row>
    <row r="63" spans="2:35" ht="23.1" customHeight="1">
      <c r="B63" s="105"/>
      <c r="C63" s="500"/>
      <c r="D63" s="497"/>
      <c r="E63" s="556"/>
      <c r="F63" s="556"/>
      <c r="G63" s="500"/>
      <c r="H63" s="556"/>
      <c r="I63" s="556"/>
      <c r="J63" s="556"/>
      <c r="K63" s="564"/>
      <c r="L63" s="564"/>
      <c r="M63" s="564"/>
      <c r="N63" s="564"/>
      <c r="O63" s="564"/>
      <c r="P63" s="656"/>
      <c r="Q63" s="896">
        <f t="shared" si="2"/>
        <v>0</v>
      </c>
      <c r="R63" s="758"/>
      <c r="S63" s="759"/>
      <c r="T63" s="95"/>
      <c r="V63" s="890"/>
      <c r="W63" s="822"/>
      <c r="X63" s="822"/>
      <c r="Y63" s="822"/>
      <c r="Z63" s="822"/>
      <c r="AA63" s="822"/>
      <c r="AB63" s="822"/>
      <c r="AC63" s="822"/>
      <c r="AD63" s="822"/>
      <c r="AE63" s="822"/>
      <c r="AF63" s="822"/>
      <c r="AG63" s="822"/>
      <c r="AH63" s="822"/>
      <c r="AI63" s="821"/>
    </row>
    <row r="64" spans="2:35" ht="23.1" customHeight="1">
      <c r="B64" s="105"/>
      <c r="C64" s="500"/>
      <c r="D64" s="497"/>
      <c r="E64" s="556"/>
      <c r="F64" s="556"/>
      <c r="G64" s="500"/>
      <c r="H64" s="556"/>
      <c r="I64" s="556"/>
      <c r="J64" s="556"/>
      <c r="K64" s="564"/>
      <c r="L64" s="564"/>
      <c r="M64" s="564"/>
      <c r="N64" s="564"/>
      <c r="O64" s="564"/>
      <c r="P64" s="656"/>
      <c r="Q64" s="896">
        <f t="shared" si="2"/>
        <v>0</v>
      </c>
      <c r="R64" s="758"/>
      <c r="S64" s="759"/>
      <c r="T64" s="95"/>
      <c r="V64" s="890"/>
      <c r="W64" s="822"/>
      <c r="X64" s="822"/>
      <c r="Y64" s="822"/>
      <c r="Z64" s="822"/>
      <c r="AA64" s="822"/>
      <c r="AB64" s="822"/>
      <c r="AC64" s="822"/>
      <c r="AD64" s="822"/>
      <c r="AE64" s="822"/>
      <c r="AF64" s="822"/>
      <c r="AG64" s="822"/>
      <c r="AH64" s="822"/>
      <c r="AI64" s="821"/>
    </row>
    <row r="65" spans="2:35" ht="23.1" customHeight="1">
      <c r="B65" s="105"/>
      <c r="C65" s="500"/>
      <c r="D65" s="497"/>
      <c r="E65" s="556"/>
      <c r="F65" s="556"/>
      <c r="G65" s="500"/>
      <c r="H65" s="556"/>
      <c r="I65" s="556"/>
      <c r="J65" s="556"/>
      <c r="K65" s="564"/>
      <c r="L65" s="564"/>
      <c r="M65" s="564"/>
      <c r="N65" s="564"/>
      <c r="O65" s="564"/>
      <c r="P65" s="656"/>
      <c r="Q65" s="896">
        <f t="shared" si="2"/>
        <v>0</v>
      </c>
      <c r="R65" s="758"/>
      <c r="S65" s="759"/>
      <c r="T65" s="95"/>
      <c r="V65" s="890"/>
      <c r="W65" s="822"/>
      <c r="X65" s="822"/>
      <c r="Y65" s="822"/>
      <c r="Z65" s="822"/>
      <c r="AA65" s="822"/>
      <c r="AB65" s="822"/>
      <c r="AC65" s="822"/>
      <c r="AD65" s="822"/>
      <c r="AE65" s="822"/>
      <c r="AF65" s="822"/>
      <c r="AG65" s="822"/>
      <c r="AH65" s="822"/>
      <c r="AI65" s="821"/>
    </row>
    <row r="66" spans="2:35" ht="23.1" customHeight="1">
      <c r="B66" s="105"/>
      <c r="C66" s="500"/>
      <c r="D66" s="497"/>
      <c r="E66" s="556"/>
      <c r="F66" s="556"/>
      <c r="G66" s="500"/>
      <c r="H66" s="556"/>
      <c r="I66" s="556"/>
      <c r="J66" s="556"/>
      <c r="K66" s="564"/>
      <c r="L66" s="564"/>
      <c r="M66" s="564"/>
      <c r="N66" s="564"/>
      <c r="O66" s="564"/>
      <c r="P66" s="656"/>
      <c r="Q66" s="896">
        <f t="shared" si="2"/>
        <v>0</v>
      </c>
      <c r="R66" s="758"/>
      <c r="S66" s="759"/>
      <c r="T66" s="95"/>
      <c r="V66" s="890"/>
      <c r="W66" s="822"/>
      <c r="X66" s="822"/>
      <c r="Y66" s="822"/>
      <c r="Z66" s="822"/>
      <c r="AA66" s="822"/>
      <c r="AB66" s="822"/>
      <c r="AC66" s="822"/>
      <c r="AD66" s="822"/>
      <c r="AE66" s="822"/>
      <c r="AF66" s="822"/>
      <c r="AG66" s="822"/>
      <c r="AH66" s="822"/>
      <c r="AI66" s="821"/>
    </row>
    <row r="67" spans="2:35" ht="23.1" customHeight="1">
      <c r="B67" s="105"/>
      <c r="C67" s="500"/>
      <c r="D67" s="497"/>
      <c r="E67" s="556"/>
      <c r="F67" s="556"/>
      <c r="G67" s="500"/>
      <c r="H67" s="556"/>
      <c r="I67" s="556"/>
      <c r="J67" s="556"/>
      <c r="K67" s="564"/>
      <c r="L67" s="564"/>
      <c r="M67" s="564"/>
      <c r="N67" s="564"/>
      <c r="O67" s="564"/>
      <c r="P67" s="656"/>
      <c r="Q67" s="896">
        <f t="shared" si="2"/>
        <v>0</v>
      </c>
      <c r="R67" s="758"/>
      <c r="S67" s="759"/>
      <c r="T67" s="95"/>
      <c r="V67" s="890"/>
      <c r="W67" s="822"/>
      <c r="X67" s="822"/>
      <c r="Y67" s="822"/>
      <c r="Z67" s="822"/>
      <c r="AA67" s="822"/>
      <c r="AB67" s="822"/>
      <c r="AC67" s="822"/>
      <c r="AD67" s="822"/>
      <c r="AE67" s="822"/>
      <c r="AF67" s="822"/>
      <c r="AG67" s="822"/>
      <c r="AH67" s="822"/>
      <c r="AI67" s="821"/>
    </row>
    <row r="68" spans="2:35" ht="23.1" customHeight="1">
      <c r="B68" s="105"/>
      <c r="C68" s="500"/>
      <c r="D68" s="497"/>
      <c r="E68" s="556"/>
      <c r="F68" s="556"/>
      <c r="G68" s="500"/>
      <c r="H68" s="556"/>
      <c r="I68" s="556"/>
      <c r="J68" s="556"/>
      <c r="K68" s="564"/>
      <c r="L68" s="564"/>
      <c r="M68" s="564"/>
      <c r="N68" s="564"/>
      <c r="O68" s="564"/>
      <c r="P68" s="656"/>
      <c r="Q68" s="896">
        <f t="shared" si="2"/>
        <v>0</v>
      </c>
      <c r="R68" s="758"/>
      <c r="S68" s="759"/>
      <c r="T68" s="95"/>
      <c r="V68" s="890"/>
      <c r="W68" s="822"/>
      <c r="X68" s="822"/>
      <c r="Y68" s="822"/>
      <c r="Z68" s="822"/>
      <c r="AA68" s="822"/>
      <c r="AB68" s="822"/>
      <c r="AC68" s="822"/>
      <c r="AD68" s="822"/>
      <c r="AE68" s="822"/>
      <c r="AF68" s="822"/>
      <c r="AG68" s="822"/>
      <c r="AH68" s="822"/>
      <c r="AI68" s="821"/>
    </row>
    <row r="69" spans="2:35" ht="23.1" customHeight="1">
      <c r="B69" s="105"/>
      <c r="C69" s="500"/>
      <c r="D69" s="497"/>
      <c r="E69" s="556"/>
      <c r="F69" s="556"/>
      <c r="G69" s="500"/>
      <c r="H69" s="556"/>
      <c r="I69" s="556"/>
      <c r="J69" s="556"/>
      <c r="K69" s="564"/>
      <c r="L69" s="564"/>
      <c r="M69" s="564"/>
      <c r="N69" s="564"/>
      <c r="O69" s="564"/>
      <c r="P69" s="656"/>
      <c r="Q69" s="896">
        <f t="shared" si="2"/>
        <v>0</v>
      </c>
      <c r="R69" s="758"/>
      <c r="S69" s="759"/>
      <c r="T69" s="95"/>
      <c r="V69" s="890"/>
      <c r="W69" s="822"/>
      <c r="X69" s="822"/>
      <c r="Y69" s="822"/>
      <c r="Z69" s="822"/>
      <c r="AA69" s="822"/>
      <c r="AB69" s="822"/>
      <c r="AC69" s="822"/>
      <c r="AD69" s="822"/>
      <c r="AE69" s="822"/>
      <c r="AF69" s="822"/>
      <c r="AG69" s="822"/>
      <c r="AH69" s="822"/>
      <c r="AI69" s="821"/>
    </row>
    <row r="70" spans="2:35" ht="23.1" customHeight="1">
      <c r="B70" s="105"/>
      <c r="C70" s="500"/>
      <c r="D70" s="497"/>
      <c r="E70" s="556"/>
      <c r="F70" s="556"/>
      <c r="G70" s="500"/>
      <c r="H70" s="556"/>
      <c r="I70" s="556"/>
      <c r="J70" s="556"/>
      <c r="K70" s="564"/>
      <c r="L70" s="564"/>
      <c r="M70" s="564"/>
      <c r="N70" s="564"/>
      <c r="O70" s="564"/>
      <c r="P70" s="656"/>
      <c r="Q70" s="896">
        <f t="shared" si="2"/>
        <v>0</v>
      </c>
      <c r="R70" s="758"/>
      <c r="S70" s="759"/>
      <c r="T70" s="95"/>
      <c r="V70" s="890"/>
      <c r="W70" s="822"/>
      <c r="X70" s="822"/>
      <c r="Y70" s="822"/>
      <c r="Z70" s="822"/>
      <c r="AA70" s="822"/>
      <c r="AB70" s="822"/>
      <c r="AC70" s="822"/>
      <c r="AD70" s="822"/>
      <c r="AE70" s="822"/>
      <c r="AF70" s="822"/>
      <c r="AG70" s="822"/>
      <c r="AH70" s="822"/>
      <c r="AI70" s="821"/>
    </row>
    <row r="71" spans="2:35" ht="23.1" customHeight="1">
      <c r="B71" s="105"/>
      <c r="C71" s="500"/>
      <c r="D71" s="497"/>
      <c r="E71" s="556"/>
      <c r="F71" s="556"/>
      <c r="G71" s="500"/>
      <c r="H71" s="556"/>
      <c r="I71" s="556"/>
      <c r="J71" s="556"/>
      <c r="K71" s="564"/>
      <c r="L71" s="564"/>
      <c r="M71" s="564"/>
      <c r="N71" s="564"/>
      <c r="O71" s="564"/>
      <c r="P71" s="656"/>
      <c r="Q71" s="896">
        <f t="shared" si="2"/>
        <v>0</v>
      </c>
      <c r="R71" s="758"/>
      <c r="S71" s="759"/>
      <c r="T71" s="95"/>
      <c r="V71" s="890"/>
      <c r="W71" s="822"/>
      <c r="X71" s="822"/>
      <c r="Y71" s="822"/>
      <c r="Z71" s="822"/>
      <c r="AA71" s="822"/>
      <c r="AB71" s="822"/>
      <c r="AC71" s="822"/>
      <c r="AD71" s="822"/>
      <c r="AE71" s="822"/>
      <c r="AF71" s="822"/>
      <c r="AG71" s="822"/>
      <c r="AH71" s="822"/>
      <c r="AI71" s="821"/>
    </row>
    <row r="72" spans="2:35" ht="23.1" customHeight="1">
      <c r="B72" s="105"/>
      <c r="C72" s="500"/>
      <c r="D72" s="497"/>
      <c r="E72" s="556"/>
      <c r="F72" s="556"/>
      <c r="G72" s="500"/>
      <c r="H72" s="556"/>
      <c r="I72" s="556"/>
      <c r="J72" s="556"/>
      <c r="K72" s="564"/>
      <c r="L72" s="564"/>
      <c r="M72" s="564"/>
      <c r="N72" s="564"/>
      <c r="O72" s="564"/>
      <c r="P72" s="656"/>
      <c r="Q72" s="896">
        <f t="shared" si="2"/>
        <v>0</v>
      </c>
      <c r="R72" s="758"/>
      <c r="S72" s="759"/>
      <c r="T72" s="95"/>
      <c r="V72" s="890"/>
      <c r="W72" s="822"/>
      <c r="X72" s="822"/>
      <c r="Y72" s="822"/>
      <c r="Z72" s="822"/>
      <c r="AA72" s="822"/>
      <c r="AB72" s="822"/>
      <c r="AC72" s="822"/>
      <c r="AD72" s="822"/>
      <c r="AE72" s="822"/>
      <c r="AF72" s="822"/>
      <c r="AG72" s="822"/>
      <c r="AH72" s="822"/>
      <c r="AI72" s="821"/>
    </row>
    <row r="73" spans="2:35" ht="23.1" customHeight="1">
      <c r="B73" s="105"/>
      <c r="C73" s="500"/>
      <c r="D73" s="498"/>
      <c r="E73" s="557"/>
      <c r="F73" s="557"/>
      <c r="G73" s="501"/>
      <c r="H73" s="557"/>
      <c r="I73" s="557"/>
      <c r="J73" s="557"/>
      <c r="K73" s="565"/>
      <c r="L73" s="565"/>
      <c r="M73" s="565"/>
      <c r="N73" s="565"/>
      <c r="O73" s="565"/>
      <c r="P73" s="657"/>
      <c r="Q73" s="897">
        <f t="shared" si="2"/>
        <v>0</v>
      </c>
      <c r="R73" s="758"/>
      <c r="S73" s="759"/>
      <c r="T73" s="95"/>
      <c r="V73" s="890"/>
      <c r="W73" s="822"/>
      <c r="X73" s="822"/>
      <c r="Y73" s="822"/>
      <c r="Z73" s="822"/>
      <c r="AA73" s="822"/>
      <c r="AB73" s="822"/>
      <c r="AC73" s="822"/>
      <c r="AD73" s="822"/>
      <c r="AE73" s="822"/>
      <c r="AF73" s="822"/>
      <c r="AG73" s="822"/>
      <c r="AH73" s="822"/>
      <c r="AI73" s="821"/>
    </row>
    <row r="74" spans="2:35" ht="23.1" customHeight="1">
      <c r="B74" s="105"/>
      <c r="C74" s="502"/>
      <c r="D74" s="499"/>
      <c r="E74" s="558"/>
      <c r="F74" s="558"/>
      <c r="G74" s="502"/>
      <c r="H74" s="558"/>
      <c r="I74" s="558"/>
      <c r="J74" s="558"/>
      <c r="K74" s="566"/>
      <c r="L74" s="566"/>
      <c r="M74" s="566"/>
      <c r="N74" s="566"/>
      <c r="O74" s="566"/>
      <c r="P74" s="658"/>
      <c r="Q74" s="898">
        <f t="shared" si="2"/>
        <v>0</v>
      </c>
      <c r="R74" s="760"/>
      <c r="S74" s="761"/>
      <c r="T74" s="95"/>
      <c r="V74" s="890"/>
      <c r="W74" s="822"/>
      <c r="X74" s="822"/>
      <c r="Y74" s="822"/>
      <c r="Z74" s="822"/>
      <c r="AA74" s="822"/>
      <c r="AB74" s="822"/>
      <c r="AC74" s="822"/>
      <c r="AD74" s="822"/>
      <c r="AE74" s="822"/>
      <c r="AF74" s="822"/>
      <c r="AG74" s="822"/>
      <c r="AH74" s="822"/>
      <c r="AI74" s="821"/>
    </row>
    <row r="75" spans="2:35" ht="23.1" customHeight="1" thickBot="1">
      <c r="B75" s="105"/>
      <c r="C75" s="202"/>
      <c r="D75" s="202"/>
      <c r="E75" s="203"/>
      <c r="F75" s="203"/>
      <c r="G75" s="203"/>
      <c r="H75" s="1230" t="s">
        <v>476</v>
      </c>
      <c r="I75" s="1231"/>
      <c r="J75" s="1232"/>
      <c r="K75" s="224">
        <f t="shared" ref="K75:L75" si="3">SUM(K50:K74)</f>
        <v>2050</v>
      </c>
      <c r="L75" s="215">
        <f t="shared" si="3"/>
        <v>2050</v>
      </c>
      <c r="M75" s="223">
        <f>SUM(M50:M74)</f>
        <v>0</v>
      </c>
      <c r="N75" s="223">
        <f t="shared" ref="N75" si="4">SUM(N50:N74)</f>
        <v>0</v>
      </c>
      <c r="O75" s="224">
        <f>SUM(O50:O74)</f>
        <v>0</v>
      </c>
      <c r="P75" s="224">
        <f>SUM(P50:P74)</f>
        <v>0</v>
      </c>
      <c r="Q75" s="899">
        <f>SUM(Q50:Q74)</f>
        <v>2050</v>
      </c>
      <c r="R75" s="223">
        <f>SUM(R50:R74)</f>
        <v>2050</v>
      </c>
      <c r="S75" s="161">
        <f>SUM(S50:S74)</f>
        <v>0</v>
      </c>
      <c r="T75" s="95"/>
      <c r="V75" s="890"/>
      <c r="W75" s="822"/>
      <c r="X75" s="822"/>
      <c r="Y75" s="822"/>
      <c r="Z75" s="822"/>
      <c r="AA75" s="822"/>
      <c r="AB75" s="822"/>
      <c r="AC75" s="822"/>
      <c r="AD75" s="822"/>
      <c r="AE75" s="822"/>
      <c r="AF75" s="822"/>
      <c r="AG75" s="822"/>
      <c r="AH75" s="822"/>
      <c r="AI75" s="821"/>
    </row>
    <row r="76" spans="2:35" ht="23.1" customHeight="1">
      <c r="B76" s="105"/>
      <c r="C76" s="202"/>
      <c r="D76" s="202"/>
      <c r="E76" s="203"/>
      <c r="F76" s="203"/>
      <c r="G76" s="203"/>
      <c r="H76" s="692"/>
      <c r="I76" s="692"/>
      <c r="J76" s="692"/>
      <c r="K76" s="203"/>
      <c r="L76" s="203"/>
      <c r="M76" s="203"/>
      <c r="N76" s="203"/>
      <c r="O76" s="203"/>
      <c r="P76" s="203"/>
      <c r="Q76" s="203"/>
      <c r="R76" s="203"/>
      <c r="S76" s="203"/>
      <c r="T76" s="95"/>
      <c r="V76" s="890"/>
      <c r="W76" s="822"/>
      <c r="X76" s="822"/>
      <c r="Y76" s="822"/>
      <c r="Z76" s="822"/>
      <c r="AA76" s="822"/>
      <c r="AB76" s="822"/>
      <c r="AC76" s="822"/>
      <c r="AD76" s="822"/>
      <c r="AE76" s="822"/>
      <c r="AF76" s="822"/>
      <c r="AG76" s="822"/>
      <c r="AH76" s="822"/>
      <c r="AI76" s="821"/>
    </row>
    <row r="77" spans="2:35" ht="23.1" customHeight="1">
      <c r="B77" s="105"/>
      <c r="C77" s="55" t="s">
        <v>834</v>
      </c>
      <c r="D77" s="141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95"/>
      <c r="V77" s="890"/>
      <c r="W77" s="822"/>
      <c r="X77" s="822"/>
      <c r="Y77" s="822"/>
      <c r="Z77" s="822"/>
      <c r="AA77" s="822"/>
      <c r="AB77" s="822"/>
      <c r="AC77" s="822"/>
      <c r="AD77" s="822"/>
      <c r="AE77" s="822"/>
      <c r="AF77" s="822"/>
      <c r="AG77" s="822"/>
      <c r="AH77" s="822"/>
      <c r="AI77" s="821"/>
    </row>
    <row r="78" spans="2:35" ht="23.1" customHeight="1">
      <c r="B78" s="105"/>
      <c r="C78" s="141"/>
      <c r="D78" s="141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95"/>
      <c r="V78" s="890"/>
      <c r="W78" s="822"/>
      <c r="X78" s="822"/>
      <c r="Y78" s="822"/>
      <c r="Z78" s="822"/>
      <c r="AA78" s="822"/>
      <c r="AB78" s="822"/>
      <c r="AC78" s="822"/>
      <c r="AD78" s="822"/>
      <c r="AE78" s="822"/>
      <c r="AF78" s="822"/>
      <c r="AG78" s="822"/>
      <c r="AH78" s="822"/>
      <c r="AI78" s="821"/>
    </row>
    <row r="79" spans="2:35" ht="23.1" customHeight="1">
      <c r="B79" s="105"/>
      <c r="C79" s="141"/>
      <c r="D79" s="141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95"/>
      <c r="V79" s="890"/>
      <c r="W79" s="822"/>
      <c r="X79" s="822"/>
      <c r="Y79" s="822"/>
      <c r="Z79" s="822"/>
      <c r="AA79" s="822"/>
      <c r="AB79" s="822"/>
      <c r="AC79" s="822"/>
      <c r="AD79" s="822"/>
      <c r="AE79" s="822"/>
      <c r="AF79" s="822"/>
      <c r="AG79" s="822"/>
      <c r="AH79" s="822"/>
      <c r="AI79" s="821"/>
    </row>
    <row r="80" spans="2:35" ht="38.1" customHeight="1">
      <c r="B80" s="105"/>
      <c r="C80" s="183" t="s">
        <v>469</v>
      </c>
      <c r="D80" s="230" t="s">
        <v>471</v>
      </c>
      <c r="E80" s="183" t="s">
        <v>677</v>
      </c>
      <c r="F80" s="183" t="s">
        <v>677</v>
      </c>
      <c r="G80" s="183" t="s">
        <v>473</v>
      </c>
      <c r="H80" s="183" t="s">
        <v>477</v>
      </c>
      <c r="I80" s="183" t="s">
        <v>479</v>
      </c>
      <c r="J80" s="183" t="s">
        <v>730</v>
      </c>
      <c r="K80" s="183" t="s">
        <v>475</v>
      </c>
      <c r="L80" s="183" t="s">
        <v>679</v>
      </c>
      <c r="M80" s="892" t="s">
        <v>690</v>
      </c>
      <c r="N80" s="183" t="s">
        <v>1008</v>
      </c>
      <c r="O80" s="183" t="s">
        <v>1009</v>
      </c>
      <c r="P80" s="893" t="s">
        <v>1010</v>
      </c>
      <c r="Q80" s="183" t="s">
        <v>679</v>
      </c>
      <c r="R80" s="1205" t="s">
        <v>1011</v>
      </c>
      <c r="S80" s="1206"/>
      <c r="T80" s="95"/>
      <c r="V80" s="890"/>
      <c r="W80" s="822"/>
      <c r="X80" s="822"/>
      <c r="Y80" s="822"/>
      <c r="Z80" s="822"/>
      <c r="AA80" s="822"/>
      <c r="AB80" s="822"/>
      <c r="AC80" s="822"/>
      <c r="AD80" s="822"/>
      <c r="AE80" s="822"/>
      <c r="AF80" s="822"/>
      <c r="AG80" s="822"/>
      <c r="AH80" s="822"/>
      <c r="AI80" s="821"/>
    </row>
    <row r="81" spans="2:35" ht="23.1" customHeight="1">
      <c r="B81" s="105"/>
      <c r="C81" s="234" t="s">
        <v>470</v>
      </c>
      <c r="D81" s="235" t="s">
        <v>470</v>
      </c>
      <c r="E81" s="234" t="s">
        <v>472</v>
      </c>
      <c r="F81" s="234" t="s">
        <v>678</v>
      </c>
      <c r="G81" s="234" t="s">
        <v>833</v>
      </c>
      <c r="H81" s="234" t="s">
        <v>478</v>
      </c>
      <c r="I81" s="234" t="s">
        <v>715</v>
      </c>
      <c r="J81" s="234" t="s">
        <v>758</v>
      </c>
      <c r="K81" s="234" t="s">
        <v>1007</v>
      </c>
      <c r="L81" s="234">
        <f>ejercicio-1</f>
        <v>2018</v>
      </c>
      <c r="M81" s="234">
        <f>ejercicio</f>
        <v>2019</v>
      </c>
      <c r="N81" s="234">
        <f>ejercicio</f>
        <v>2019</v>
      </c>
      <c r="O81" s="234">
        <f>ejercicio</f>
        <v>2019</v>
      </c>
      <c r="P81" s="234">
        <f>ejercicio</f>
        <v>2019</v>
      </c>
      <c r="Q81" s="234">
        <f>ejercicio</f>
        <v>2019</v>
      </c>
      <c r="R81" s="894" t="s">
        <v>680</v>
      </c>
      <c r="S81" s="895" t="s">
        <v>681</v>
      </c>
      <c r="T81" s="95"/>
      <c r="V81" s="890"/>
      <c r="W81" s="822"/>
      <c r="X81" s="822"/>
      <c r="Y81" s="822"/>
      <c r="Z81" s="822"/>
      <c r="AA81" s="822"/>
      <c r="AB81" s="822"/>
      <c r="AC81" s="822"/>
      <c r="AD81" s="822"/>
      <c r="AE81" s="822"/>
      <c r="AF81" s="822"/>
      <c r="AG81" s="822"/>
      <c r="AH81" s="822"/>
      <c r="AI81" s="821"/>
    </row>
    <row r="82" spans="2:35" ht="23.1" customHeight="1">
      <c r="B82" s="105"/>
      <c r="C82" s="500"/>
      <c r="D82" s="497"/>
      <c r="E82" s="556"/>
      <c r="F82" s="556"/>
      <c r="G82" s="500"/>
      <c r="H82" s="556"/>
      <c r="I82" s="556"/>
      <c r="J82" s="700"/>
      <c r="K82" s="564"/>
      <c r="L82" s="564"/>
      <c r="M82" s="701"/>
      <c r="N82" s="701"/>
      <c r="O82" s="701"/>
      <c r="P82" s="656"/>
      <c r="Q82" s="901">
        <f>L82+M82-N82</f>
        <v>0</v>
      </c>
      <c r="R82" s="756"/>
      <c r="S82" s="757"/>
      <c r="T82" s="95"/>
      <c r="V82" s="890"/>
      <c r="W82" s="822"/>
      <c r="X82" s="822"/>
      <c r="Y82" s="822"/>
      <c r="Z82" s="822"/>
      <c r="AA82" s="822"/>
      <c r="AB82" s="822"/>
      <c r="AC82" s="822"/>
      <c r="AD82" s="822"/>
      <c r="AE82" s="822"/>
      <c r="AF82" s="822"/>
      <c r="AG82" s="822"/>
      <c r="AH82" s="822"/>
      <c r="AI82" s="821"/>
    </row>
    <row r="83" spans="2:35" ht="23.1" customHeight="1">
      <c r="B83" s="105"/>
      <c r="C83" s="500"/>
      <c r="D83" s="497"/>
      <c r="E83" s="556"/>
      <c r="F83" s="556"/>
      <c r="G83" s="500"/>
      <c r="H83" s="556"/>
      <c r="I83" s="556"/>
      <c r="J83" s="556"/>
      <c r="K83" s="564"/>
      <c r="L83" s="564"/>
      <c r="M83" s="564"/>
      <c r="N83" s="564"/>
      <c r="O83" s="564"/>
      <c r="P83" s="656"/>
      <c r="Q83" s="896">
        <f t="shared" ref="Q83:Q106" si="5">L83+M83-N83</f>
        <v>0</v>
      </c>
      <c r="R83" s="758"/>
      <c r="S83" s="759"/>
      <c r="T83" s="95"/>
      <c r="V83" s="890"/>
      <c r="W83" s="822"/>
      <c r="X83" s="822"/>
      <c r="Y83" s="822"/>
      <c r="Z83" s="822"/>
      <c r="AA83" s="822"/>
      <c r="AB83" s="822"/>
      <c r="AC83" s="822"/>
      <c r="AD83" s="822"/>
      <c r="AE83" s="822"/>
      <c r="AF83" s="822"/>
      <c r="AG83" s="822"/>
      <c r="AH83" s="822"/>
      <c r="AI83" s="821"/>
    </row>
    <row r="84" spans="2:35" ht="23.1" customHeight="1">
      <c r="B84" s="105"/>
      <c r="C84" s="500"/>
      <c r="D84" s="497"/>
      <c r="E84" s="556" t="s">
        <v>666</v>
      </c>
      <c r="F84" s="556"/>
      <c r="G84" s="500"/>
      <c r="H84" s="556"/>
      <c r="I84" s="556"/>
      <c r="J84" s="556"/>
      <c r="K84" s="564"/>
      <c r="L84" s="564"/>
      <c r="M84" s="564"/>
      <c r="N84" s="564"/>
      <c r="O84" s="564"/>
      <c r="P84" s="656"/>
      <c r="Q84" s="896">
        <f t="shared" si="5"/>
        <v>0</v>
      </c>
      <c r="R84" s="758"/>
      <c r="S84" s="759"/>
      <c r="T84" s="95"/>
      <c r="V84" s="890"/>
      <c r="W84" s="822"/>
      <c r="X84" s="822"/>
      <c r="Y84" s="822"/>
      <c r="Z84" s="822"/>
      <c r="AA84" s="822"/>
      <c r="AB84" s="822"/>
      <c r="AC84" s="822"/>
      <c r="AD84" s="822"/>
      <c r="AE84" s="822"/>
      <c r="AF84" s="822"/>
      <c r="AG84" s="822"/>
      <c r="AH84" s="822"/>
      <c r="AI84" s="821"/>
    </row>
    <row r="85" spans="2:35" ht="23.1" customHeight="1">
      <c r="B85" s="105"/>
      <c r="C85" s="500"/>
      <c r="D85" s="497"/>
      <c r="E85" s="556"/>
      <c r="F85" s="556"/>
      <c r="G85" s="500"/>
      <c r="H85" s="556"/>
      <c r="I85" s="556"/>
      <c r="J85" s="556"/>
      <c r="K85" s="564"/>
      <c r="L85" s="564"/>
      <c r="M85" s="564"/>
      <c r="N85" s="564"/>
      <c r="O85" s="564"/>
      <c r="P85" s="656"/>
      <c r="Q85" s="896">
        <f t="shared" si="5"/>
        <v>0</v>
      </c>
      <c r="R85" s="758"/>
      <c r="S85" s="759"/>
      <c r="T85" s="95"/>
      <c r="V85" s="890"/>
      <c r="W85" s="822"/>
      <c r="X85" s="822"/>
      <c r="Y85" s="822"/>
      <c r="Z85" s="822"/>
      <c r="AA85" s="822"/>
      <c r="AB85" s="822"/>
      <c r="AC85" s="822"/>
      <c r="AD85" s="822"/>
      <c r="AE85" s="822"/>
      <c r="AF85" s="822"/>
      <c r="AG85" s="822"/>
      <c r="AH85" s="822"/>
      <c r="AI85" s="821"/>
    </row>
    <row r="86" spans="2:35" ht="23.1" customHeight="1">
      <c r="B86" s="105"/>
      <c r="C86" s="500"/>
      <c r="D86" s="497"/>
      <c r="E86" s="556"/>
      <c r="F86" s="556"/>
      <c r="G86" s="500"/>
      <c r="H86" s="556"/>
      <c r="I86" s="556"/>
      <c r="J86" s="556"/>
      <c r="K86" s="564"/>
      <c r="L86" s="564"/>
      <c r="M86" s="564"/>
      <c r="N86" s="564"/>
      <c r="O86" s="564"/>
      <c r="P86" s="656"/>
      <c r="Q86" s="896">
        <f t="shared" si="5"/>
        <v>0</v>
      </c>
      <c r="R86" s="758"/>
      <c r="S86" s="759"/>
      <c r="T86" s="95"/>
      <c r="V86" s="890"/>
      <c r="W86" s="822"/>
      <c r="X86" s="822"/>
      <c r="Y86" s="822"/>
      <c r="Z86" s="822"/>
      <c r="AA86" s="822"/>
      <c r="AB86" s="822"/>
      <c r="AC86" s="822"/>
      <c r="AD86" s="822"/>
      <c r="AE86" s="822"/>
      <c r="AF86" s="822"/>
      <c r="AG86" s="822"/>
      <c r="AH86" s="822"/>
      <c r="AI86" s="821"/>
    </row>
    <row r="87" spans="2:35" ht="23.1" customHeight="1">
      <c r="B87" s="105"/>
      <c r="C87" s="500"/>
      <c r="D87" s="497"/>
      <c r="E87" s="556"/>
      <c r="F87" s="556"/>
      <c r="G87" s="500"/>
      <c r="H87" s="556"/>
      <c r="I87" s="556"/>
      <c r="J87" s="556"/>
      <c r="K87" s="564"/>
      <c r="L87" s="564"/>
      <c r="M87" s="564"/>
      <c r="N87" s="564"/>
      <c r="O87" s="564"/>
      <c r="P87" s="656"/>
      <c r="Q87" s="896">
        <f t="shared" si="5"/>
        <v>0</v>
      </c>
      <c r="R87" s="758"/>
      <c r="S87" s="759"/>
      <c r="T87" s="95"/>
      <c r="V87" s="890"/>
      <c r="W87" s="822"/>
      <c r="X87" s="822"/>
      <c r="Y87" s="822"/>
      <c r="Z87" s="822"/>
      <c r="AA87" s="822"/>
      <c r="AB87" s="822"/>
      <c r="AC87" s="822"/>
      <c r="AD87" s="822"/>
      <c r="AE87" s="822"/>
      <c r="AF87" s="822"/>
      <c r="AG87" s="822"/>
      <c r="AH87" s="822"/>
      <c r="AI87" s="821"/>
    </row>
    <row r="88" spans="2:35" ht="23.1" customHeight="1">
      <c r="B88" s="105"/>
      <c r="C88" s="500"/>
      <c r="D88" s="497"/>
      <c r="E88" s="556"/>
      <c r="F88" s="556"/>
      <c r="G88" s="500"/>
      <c r="H88" s="556"/>
      <c r="I88" s="556"/>
      <c r="J88" s="556"/>
      <c r="K88" s="564"/>
      <c r="L88" s="564"/>
      <c r="M88" s="564"/>
      <c r="N88" s="564"/>
      <c r="O88" s="564"/>
      <c r="P88" s="656"/>
      <c r="Q88" s="896">
        <f t="shared" si="5"/>
        <v>0</v>
      </c>
      <c r="R88" s="758"/>
      <c r="S88" s="759"/>
      <c r="T88" s="95"/>
      <c r="V88" s="890"/>
      <c r="W88" s="822"/>
      <c r="X88" s="822"/>
      <c r="Y88" s="822"/>
      <c r="Z88" s="822"/>
      <c r="AA88" s="822"/>
      <c r="AB88" s="822"/>
      <c r="AC88" s="822"/>
      <c r="AD88" s="822"/>
      <c r="AE88" s="822"/>
      <c r="AF88" s="822"/>
      <c r="AG88" s="822"/>
      <c r="AH88" s="822"/>
      <c r="AI88" s="821"/>
    </row>
    <row r="89" spans="2:35" ht="23.1" customHeight="1">
      <c r="B89" s="105"/>
      <c r="C89" s="500"/>
      <c r="D89" s="497"/>
      <c r="E89" s="556"/>
      <c r="F89" s="556"/>
      <c r="G89" s="500"/>
      <c r="H89" s="556"/>
      <c r="I89" s="556"/>
      <c r="J89" s="556"/>
      <c r="K89" s="564"/>
      <c r="L89" s="564"/>
      <c r="M89" s="564"/>
      <c r="N89" s="564"/>
      <c r="O89" s="564"/>
      <c r="P89" s="656"/>
      <c r="Q89" s="896">
        <f t="shared" si="5"/>
        <v>0</v>
      </c>
      <c r="R89" s="758"/>
      <c r="S89" s="759"/>
      <c r="T89" s="95"/>
      <c r="V89" s="890"/>
      <c r="W89" s="822"/>
      <c r="X89" s="822"/>
      <c r="Y89" s="822"/>
      <c r="Z89" s="822"/>
      <c r="AA89" s="822"/>
      <c r="AB89" s="822"/>
      <c r="AC89" s="822"/>
      <c r="AD89" s="822"/>
      <c r="AE89" s="822"/>
      <c r="AF89" s="822"/>
      <c r="AG89" s="822"/>
      <c r="AH89" s="822"/>
      <c r="AI89" s="821"/>
    </row>
    <row r="90" spans="2:35" ht="23.1" customHeight="1">
      <c r="B90" s="105"/>
      <c r="C90" s="500"/>
      <c r="D90" s="497"/>
      <c r="E90" s="556"/>
      <c r="F90" s="556"/>
      <c r="G90" s="500"/>
      <c r="H90" s="556"/>
      <c r="I90" s="556"/>
      <c r="J90" s="556"/>
      <c r="K90" s="564"/>
      <c r="L90" s="564"/>
      <c r="M90" s="564"/>
      <c r="N90" s="564"/>
      <c r="O90" s="564"/>
      <c r="P90" s="656"/>
      <c r="Q90" s="896">
        <f t="shared" si="5"/>
        <v>0</v>
      </c>
      <c r="R90" s="758"/>
      <c r="S90" s="759"/>
      <c r="T90" s="95"/>
      <c r="V90" s="890"/>
      <c r="W90" s="822"/>
      <c r="X90" s="822"/>
      <c r="Y90" s="822"/>
      <c r="Z90" s="822"/>
      <c r="AA90" s="822"/>
      <c r="AB90" s="822"/>
      <c r="AC90" s="822"/>
      <c r="AD90" s="822"/>
      <c r="AE90" s="822"/>
      <c r="AF90" s="822"/>
      <c r="AG90" s="822"/>
      <c r="AH90" s="822"/>
      <c r="AI90" s="821"/>
    </row>
    <row r="91" spans="2:35" ht="23.1" customHeight="1">
      <c r="B91" s="105"/>
      <c r="C91" s="500"/>
      <c r="D91" s="497"/>
      <c r="E91" s="556"/>
      <c r="F91" s="556"/>
      <c r="G91" s="500"/>
      <c r="H91" s="556"/>
      <c r="I91" s="556"/>
      <c r="J91" s="556"/>
      <c r="K91" s="564"/>
      <c r="L91" s="564"/>
      <c r="M91" s="564"/>
      <c r="N91" s="564"/>
      <c r="O91" s="564"/>
      <c r="P91" s="656"/>
      <c r="Q91" s="896">
        <f t="shared" si="5"/>
        <v>0</v>
      </c>
      <c r="R91" s="758"/>
      <c r="S91" s="759"/>
      <c r="T91" s="95"/>
      <c r="V91" s="890"/>
      <c r="W91" s="822"/>
      <c r="X91" s="822"/>
      <c r="Y91" s="822"/>
      <c r="Z91" s="822"/>
      <c r="AA91" s="822"/>
      <c r="AB91" s="822"/>
      <c r="AC91" s="822"/>
      <c r="AD91" s="822"/>
      <c r="AE91" s="822"/>
      <c r="AF91" s="822"/>
      <c r="AG91" s="822"/>
      <c r="AH91" s="822"/>
      <c r="AI91" s="821"/>
    </row>
    <row r="92" spans="2:35" ht="23.1" customHeight="1">
      <c r="B92" s="105"/>
      <c r="C92" s="500"/>
      <c r="D92" s="497"/>
      <c r="E92" s="556"/>
      <c r="F92" s="556"/>
      <c r="G92" s="500"/>
      <c r="H92" s="556"/>
      <c r="I92" s="556"/>
      <c r="J92" s="556"/>
      <c r="K92" s="564"/>
      <c r="L92" s="564"/>
      <c r="M92" s="564"/>
      <c r="N92" s="564"/>
      <c r="O92" s="564"/>
      <c r="P92" s="656"/>
      <c r="Q92" s="896">
        <f t="shared" si="5"/>
        <v>0</v>
      </c>
      <c r="R92" s="758"/>
      <c r="S92" s="759"/>
      <c r="T92" s="95"/>
      <c r="V92" s="890"/>
      <c r="W92" s="822"/>
      <c r="X92" s="822"/>
      <c r="Y92" s="822"/>
      <c r="Z92" s="822"/>
      <c r="AA92" s="822"/>
      <c r="AB92" s="822"/>
      <c r="AC92" s="822"/>
      <c r="AD92" s="822"/>
      <c r="AE92" s="822"/>
      <c r="AF92" s="822"/>
      <c r="AG92" s="822"/>
      <c r="AH92" s="822"/>
      <c r="AI92" s="821"/>
    </row>
    <row r="93" spans="2:35" ht="23.1" customHeight="1">
      <c r="B93" s="105"/>
      <c r="C93" s="500"/>
      <c r="D93" s="497"/>
      <c r="E93" s="556"/>
      <c r="F93" s="556"/>
      <c r="G93" s="500"/>
      <c r="H93" s="556"/>
      <c r="I93" s="556"/>
      <c r="J93" s="556"/>
      <c r="K93" s="564"/>
      <c r="L93" s="564"/>
      <c r="M93" s="564"/>
      <c r="N93" s="564"/>
      <c r="O93" s="564"/>
      <c r="P93" s="656"/>
      <c r="Q93" s="896">
        <f t="shared" si="5"/>
        <v>0</v>
      </c>
      <c r="R93" s="758"/>
      <c r="S93" s="759"/>
      <c r="T93" s="95"/>
      <c r="V93" s="890"/>
      <c r="W93" s="822"/>
      <c r="X93" s="822"/>
      <c r="Y93" s="822"/>
      <c r="Z93" s="822"/>
      <c r="AA93" s="822"/>
      <c r="AB93" s="822"/>
      <c r="AC93" s="822"/>
      <c r="AD93" s="822"/>
      <c r="AE93" s="822"/>
      <c r="AF93" s="822"/>
      <c r="AG93" s="822"/>
      <c r="AH93" s="822"/>
      <c r="AI93" s="821"/>
    </row>
    <row r="94" spans="2:35" ht="23.1" customHeight="1">
      <c r="B94" s="105"/>
      <c r="C94" s="500"/>
      <c r="D94" s="497"/>
      <c r="E94" s="556"/>
      <c r="F94" s="556"/>
      <c r="G94" s="500"/>
      <c r="H94" s="556"/>
      <c r="I94" s="556"/>
      <c r="J94" s="556"/>
      <c r="K94" s="564"/>
      <c r="L94" s="564"/>
      <c r="M94" s="564"/>
      <c r="N94" s="564"/>
      <c r="O94" s="564"/>
      <c r="P94" s="656"/>
      <c r="Q94" s="896">
        <f t="shared" si="5"/>
        <v>0</v>
      </c>
      <c r="R94" s="758"/>
      <c r="S94" s="759"/>
      <c r="T94" s="95"/>
      <c r="V94" s="890"/>
      <c r="W94" s="822"/>
      <c r="X94" s="822"/>
      <c r="Y94" s="822"/>
      <c r="Z94" s="822"/>
      <c r="AA94" s="822"/>
      <c r="AB94" s="822"/>
      <c r="AC94" s="822"/>
      <c r="AD94" s="822"/>
      <c r="AE94" s="822"/>
      <c r="AF94" s="822"/>
      <c r="AG94" s="822"/>
      <c r="AH94" s="822"/>
      <c r="AI94" s="821"/>
    </row>
    <row r="95" spans="2:35" ht="23.1" customHeight="1">
      <c r="B95" s="105"/>
      <c r="C95" s="500"/>
      <c r="D95" s="497"/>
      <c r="E95" s="556"/>
      <c r="F95" s="556"/>
      <c r="G95" s="500"/>
      <c r="H95" s="556"/>
      <c r="I95" s="556"/>
      <c r="J95" s="556"/>
      <c r="K95" s="564"/>
      <c r="L95" s="564"/>
      <c r="M95" s="564"/>
      <c r="N95" s="564"/>
      <c r="O95" s="564"/>
      <c r="P95" s="656"/>
      <c r="Q95" s="896">
        <f t="shared" si="5"/>
        <v>0</v>
      </c>
      <c r="R95" s="758"/>
      <c r="S95" s="759"/>
      <c r="T95" s="95"/>
      <c r="V95" s="890"/>
      <c r="W95" s="822"/>
      <c r="X95" s="822"/>
      <c r="Y95" s="822"/>
      <c r="Z95" s="822"/>
      <c r="AA95" s="822"/>
      <c r="AB95" s="822"/>
      <c r="AC95" s="822"/>
      <c r="AD95" s="822"/>
      <c r="AE95" s="822"/>
      <c r="AF95" s="822"/>
      <c r="AG95" s="822"/>
      <c r="AH95" s="822"/>
      <c r="AI95" s="821"/>
    </row>
    <row r="96" spans="2:35" ht="23.1" customHeight="1">
      <c r="B96" s="105"/>
      <c r="C96" s="500"/>
      <c r="D96" s="497"/>
      <c r="E96" s="556"/>
      <c r="F96" s="556"/>
      <c r="G96" s="500"/>
      <c r="H96" s="556"/>
      <c r="I96" s="556"/>
      <c r="J96" s="556"/>
      <c r="K96" s="564"/>
      <c r="L96" s="564"/>
      <c r="M96" s="564"/>
      <c r="N96" s="564"/>
      <c r="O96" s="564"/>
      <c r="P96" s="656"/>
      <c r="Q96" s="896">
        <f t="shared" si="5"/>
        <v>0</v>
      </c>
      <c r="R96" s="758"/>
      <c r="S96" s="759"/>
      <c r="T96" s="95"/>
      <c r="V96" s="890"/>
      <c r="W96" s="822"/>
      <c r="X96" s="822"/>
      <c r="Y96" s="822"/>
      <c r="Z96" s="822"/>
      <c r="AA96" s="822"/>
      <c r="AB96" s="822"/>
      <c r="AC96" s="822"/>
      <c r="AD96" s="822"/>
      <c r="AE96" s="822"/>
      <c r="AF96" s="822"/>
      <c r="AG96" s="822"/>
      <c r="AH96" s="822"/>
      <c r="AI96" s="821"/>
    </row>
    <row r="97" spans="2:35" ht="23.1" customHeight="1">
      <c r="B97" s="105"/>
      <c r="C97" s="500"/>
      <c r="D97" s="497"/>
      <c r="E97" s="556"/>
      <c r="F97" s="556"/>
      <c r="G97" s="500"/>
      <c r="H97" s="556"/>
      <c r="I97" s="556"/>
      <c r="J97" s="556"/>
      <c r="K97" s="564"/>
      <c r="L97" s="564"/>
      <c r="M97" s="564"/>
      <c r="N97" s="564"/>
      <c r="O97" s="564"/>
      <c r="P97" s="656"/>
      <c r="Q97" s="896">
        <f t="shared" si="5"/>
        <v>0</v>
      </c>
      <c r="R97" s="758"/>
      <c r="S97" s="759"/>
      <c r="T97" s="95"/>
      <c r="V97" s="890"/>
      <c r="W97" s="822"/>
      <c r="X97" s="822"/>
      <c r="Y97" s="822"/>
      <c r="Z97" s="822"/>
      <c r="AA97" s="822"/>
      <c r="AB97" s="822"/>
      <c r="AC97" s="822"/>
      <c r="AD97" s="822"/>
      <c r="AE97" s="822"/>
      <c r="AF97" s="822"/>
      <c r="AG97" s="822"/>
      <c r="AH97" s="822"/>
      <c r="AI97" s="821"/>
    </row>
    <row r="98" spans="2:35" ht="23.1" customHeight="1">
      <c r="B98" s="105"/>
      <c r="C98" s="500"/>
      <c r="D98" s="497"/>
      <c r="E98" s="556"/>
      <c r="F98" s="556"/>
      <c r="G98" s="500"/>
      <c r="H98" s="556"/>
      <c r="I98" s="556"/>
      <c r="J98" s="556"/>
      <c r="K98" s="564"/>
      <c r="L98" s="564"/>
      <c r="M98" s="564"/>
      <c r="N98" s="564"/>
      <c r="O98" s="564"/>
      <c r="P98" s="656"/>
      <c r="Q98" s="896">
        <f t="shared" si="5"/>
        <v>0</v>
      </c>
      <c r="R98" s="758"/>
      <c r="S98" s="759"/>
      <c r="T98" s="95"/>
      <c r="V98" s="890"/>
      <c r="W98" s="822"/>
      <c r="X98" s="822"/>
      <c r="Y98" s="822"/>
      <c r="Z98" s="822"/>
      <c r="AA98" s="822"/>
      <c r="AB98" s="822"/>
      <c r="AC98" s="822"/>
      <c r="AD98" s="822"/>
      <c r="AE98" s="822"/>
      <c r="AF98" s="822"/>
      <c r="AG98" s="822"/>
      <c r="AH98" s="822"/>
      <c r="AI98" s="821"/>
    </row>
    <row r="99" spans="2:35" ht="23.1" customHeight="1">
      <c r="B99" s="105"/>
      <c r="C99" s="500"/>
      <c r="D99" s="497"/>
      <c r="E99" s="556"/>
      <c r="F99" s="556"/>
      <c r="G99" s="500"/>
      <c r="H99" s="556"/>
      <c r="I99" s="556"/>
      <c r="J99" s="556"/>
      <c r="K99" s="564"/>
      <c r="L99" s="564"/>
      <c r="M99" s="564"/>
      <c r="N99" s="564"/>
      <c r="O99" s="564"/>
      <c r="P99" s="656"/>
      <c r="Q99" s="896">
        <f t="shared" si="5"/>
        <v>0</v>
      </c>
      <c r="R99" s="758"/>
      <c r="S99" s="759"/>
      <c r="T99" s="95"/>
      <c r="V99" s="890"/>
      <c r="W99" s="822"/>
      <c r="X99" s="822"/>
      <c r="Y99" s="822"/>
      <c r="Z99" s="822"/>
      <c r="AA99" s="822"/>
      <c r="AB99" s="822"/>
      <c r="AC99" s="822"/>
      <c r="AD99" s="822"/>
      <c r="AE99" s="822"/>
      <c r="AF99" s="822"/>
      <c r="AG99" s="822"/>
      <c r="AH99" s="822"/>
      <c r="AI99" s="821"/>
    </row>
    <row r="100" spans="2:35" ht="23.1" customHeight="1">
      <c r="B100" s="105"/>
      <c r="C100" s="500"/>
      <c r="D100" s="497"/>
      <c r="E100" s="556"/>
      <c r="F100" s="556"/>
      <c r="G100" s="500"/>
      <c r="H100" s="556"/>
      <c r="I100" s="556"/>
      <c r="J100" s="556"/>
      <c r="K100" s="564"/>
      <c r="L100" s="564"/>
      <c r="M100" s="564"/>
      <c r="N100" s="564"/>
      <c r="O100" s="564"/>
      <c r="P100" s="656"/>
      <c r="Q100" s="896">
        <f t="shared" si="5"/>
        <v>0</v>
      </c>
      <c r="R100" s="758"/>
      <c r="S100" s="759"/>
      <c r="T100" s="95"/>
      <c r="V100" s="890"/>
      <c r="W100" s="822"/>
      <c r="X100" s="822"/>
      <c r="Y100" s="822"/>
      <c r="Z100" s="822"/>
      <c r="AA100" s="822"/>
      <c r="AB100" s="822"/>
      <c r="AC100" s="822"/>
      <c r="AD100" s="822"/>
      <c r="AE100" s="822"/>
      <c r="AF100" s="822"/>
      <c r="AG100" s="822"/>
      <c r="AH100" s="822"/>
      <c r="AI100" s="821"/>
    </row>
    <row r="101" spans="2:35" ht="23.1" customHeight="1">
      <c r="B101" s="105"/>
      <c r="C101" s="500"/>
      <c r="D101" s="497"/>
      <c r="E101" s="556"/>
      <c r="F101" s="556"/>
      <c r="G101" s="500"/>
      <c r="H101" s="556"/>
      <c r="I101" s="556"/>
      <c r="J101" s="556"/>
      <c r="K101" s="564"/>
      <c r="L101" s="564"/>
      <c r="M101" s="564"/>
      <c r="N101" s="564"/>
      <c r="O101" s="564"/>
      <c r="P101" s="656"/>
      <c r="Q101" s="896">
        <f t="shared" si="5"/>
        <v>0</v>
      </c>
      <c r="R101" s="758"/>
      <c r="S101" s="759"/>
      <c r="T101" s="95"/>
      <c r="V101" s="890"/>
      <c r="W101" s="822"/>
      <c r="X101" s="822"/>
      <c r="Y101" s="822"/>
      <c r="Z101" s="822"/>
      <c r="AA101" s="822"/>
      <c r="AB101" s="822"/>
      <c r="AC101" s="822"/>
      <c r="AD101" s="822"/>
      <c r="AE101" s="822"/>
      <c r="AF101" s="822"/>
      <c r="AG101" s="822"/>
      <c r="AH101" s="822"/>
      <c r="AI101" s="821"/>
    </row>
    <row r="102" spans="2:35" ht="23.1" customHeight="1">
      <c r="B102" s="105"/>
      <c r="C102" s="500"/>
      <c r="D102" s="497"/>
      <c r="E102" s="556"/>
      <c r="F102" s="556"/>
      <c r="G102" s="500"/>
      <c r="H102" s="556"/>
      <c r="I102" s="556"/>
      <c r="J102" s="556"/>
      <c r="K102" s="564"/>
      <c r="L102" s="564"/>
      <c r="M102" s="564"/>
      <c r="N102" s="564"/>
      <c r="O102" s="564"/>
      <c r="P102" s="656"/>
      <c r="Q102" s="896">
        <f t="shared" si="5"/>
        <v>0</v>
      </c>
      <c r="R102" s="758"/>
      <c r="S102" s="759"/>
      <c r="T102" s="95"/>
      <c r="V102" s="890"/>
      <c r="W102" s="822"/>
      <c r="X102" s="822"/>
      <c r="Y102" s="822"/>
      <c r="Z102" s="822"/>
      <c r="AA102" s="822"/>
      <c r="AB102" s="822"/>
      <c r="AC102" s="822"/>
      <c r="AD102" s="822"/>
      <c r="AE102" s="822"/>
      <c r="AF102" s="822"/>
      <c r="AG102" s="822"/>
      <c r="AH102" s="822"/>
      <c r="AI102" s="821"/>
    </row>
    <row r="103" spans="2:35" ht="23.1" customHeight="1">
      <c r="B103" s="105"/>
      <c r="C103" s="500"/>
      <c r="D103" s="497"/>
      <c r="E103" s="556"/>
      <c r="F103" s="556"/>
      <c r="G103" s="500"/>
      <c r="H103" s="556"/>
      <c r="I103" s="556"/>
      <c r="J103" s="556"/>
      <c r="K103" s="564"/>
      <c r="L103" s="564"/>
      <c r="M103" s="564"/>
      <c r="N103" s="564"/>
      <c r="O103" s="564"/>
      <c r="P103" s="656"/>
      <c r="Q103" s="896">
        <f t="shared" si="5"/>
        <v>0</v>
      </c>
      <c r="R103" s="758"/>
      <c r="S103" s="759"/>
      <c r="T103" s="95"/>
      <c r="V103" s="890"/>
      <c r="W103" s="822"/>
      <c r="X103" s="822"/>
      <c r="Y103" s="822"/>
      <c r="Z103" s="822"/>
      <c r="AA103" s="822"/>
      <c r="AB103" s="822"/>
      <c r="AC103" s="822"/>
      <c r="AD103" s="822"/>
      <c r="AE103" s="822"/>
      <c r="AF103" s="822"/>
      <c r="AG103" s="822"/>
      <c r="AH103" s="822"/>
      <c r="AI103" s="821"/>
    </row>
    <row r="104" spans="2:35" ht="23.1" customHeight="1">
      <c r="B104" s="105"/>
      <c r="C104" s="500"/>
      <c r="D104" s="497"/>
      <c r="E104" s="556"/>
      <c r="F104" s="556"/>
      <c r="G104" s="500"/>
      <c r="H104" s="556"/>
      <c r="I104" s="556"/>
      <c r="J104" s="556"/>
      <c r="K104" s="564"/>
      <c r="L104" s="564"/>
      <c r="M104" s="564"/>
      <c r="N104" s="564"/>
      <c r="O104" s="564"/>
      <c r="P104" s="656"/>
      <c r="Q104" s="896">
        <f t="shared" si="5"/>
        <v>0</v>
      </c>
      <c r="R104" s="758"/>
      <c r="S104" s="759"/>
      <c r="T104" s="95"/>
      <c r="V104" s="890"/>
      <c r="W104" s="822"/>
      <c r="X104" s="822"/>
      <c r="Y104" s="822"/>
      <c r="Z104" s="822"/>
      <c r="AA104" s="822"/>
      <c r="AB104" s="822"/>
      <c r="AC104" s="822"/>
      <c r="AD104" s="822"/>
      <c r="AE104" s="822"/>
      <c r="AF104" s="822"/>
      <c r="AG104" s="822"/>
      <c r="AH104" s="822"/>
      <c r="AI104" s="821"/>
    </row>
    <row r="105" spans="2:35" ht="23.1" customHeight="1">
      <c r="B105" s="105"/>
      <c r="C105" s="500"/>
      <c r="D105" s="498"/>
      <c r="E105" s="557"/>
      <c r="F105" s="557"/>
      <c r="G105" s="501"/>
      <c r="H105" s="557"/>
      <c r="I105" s="557"/>
      <c r="J105" s="557"/>
      <c r="K105" s="565"/>
      <c r="L105" s="565"/>
      <c r="M105" s="565"/>
      <c r="N105" s="565"/>
      <c r="O105" s="565"/>
      <c r="P105" s="657"/>
      <c r="Q105" s="897">
        <f t="shared" si="5"/>
        <v>0</v>
      </c>
      <c r="R105" s="758"/>
      <c r="S105" s="759"/>
      <c r="T105" s="95"/>
      <c r="V105" s="890"/>
      <c r="W105" s="822"/>
      <c r="X105" s="822"/>
      <c r="Y105" s="822"/>
      <c r="Z105" s="822"/>
      <c r="AA105" s="822"/>
      <c r="AB105" s="822"/>
      <c r="AC105" s="822"/>
      <c r="AD105" s="822"/>
      <c r="AE105" s="822"/>
      <c r="AF105" s="822"/>
      <c r="AG105" s="822"/>
      <c r="AH105" s="822"/>
      <c r="AI105" s="821"/>
    </row>
    <row r="106" spans="2:35" ht="23.1" customHeight="1">
      <c r="B106" s="105"/>
      <c r="C106" s="502"/>
      <c r="D106" s="499"/>
      <c r="E106" s="558"/>
      <c r="F106" s="558"/>
      <c r="G106" s="502"/>
      <c r="H106" s="558"/>
      <c r="I106" s="558"/>
      <c r="J106" s="558"/>
      <c r="K106" s="566"/>
      <c r="L106" s="566"/>
      <c r="M106" s="566"/>
      <c r="N106" s="566"/>
      <c r="O106" s="566"/>
      <c r="P106" s="658"/>
      <c r="Q106" s="898">
        <f t="shared" si="5"/>
        <v>0</v>
      </c>
      <c r="R106" s="760"/>
      <c r="S106" s="761"/>
      <c r="T106" s="95"/>
      <c r="V106" s="890"/>
      <c r="W106" s="822"/>
      <c r="X106" s="822"/>
      <c r="Y106" s="822"/>
      <c r="Z106" s="822"/>
      <c r="AA106" s="822"/>
      <c r="AB106" s="822"/>
      <c r="AC106" s="822"/>
      <c r="AD106" s="822"/>
      <c r="AE106" s="822"/>
      <c r="AF106" s="822"/>
      <c r="AG106" s="822"/>
      <c r="AH106" s="822"/>
      <c r="AI106" s="821"/>
    </row>
    <row r="107" spans="2:35" ht="23.1" customHeight="1" thickBot="1">
      <c r="B107" s="105"/>
      <c r="C107" s="202"/>
      <c r="D107" s="202"/>
      <c r="E107" s="203"/>
      <c r="F107" s="203"/>
      <c r="G107" s="203"/>
      <c r="H107" s="1230" t="s">
        <v>476</v>
      </c>
      <c r="I107" s="1231"/>
      <c r="J107" s="1232"/>
      <c r="K107" s="224">
        <f>SUM(K82:K106)</f>
        <v>0</v>
      </c>
      <c r="L107" s="215">
        <f t="shared" ref="L107" si="6">SUM(L82:L106)</f>
        <v>0</v>
      </c>
      <c r="M107" s="223">
        <f>SUM(M82:M106)</f>
        <v>0</v>
      </c>
      <c r="N107" s="223">
        <f t="shared" ref="N107" si="7">SUM(N82:N106)</f>
        <v>0</v>
      </c>
      <c r="O107" s="224">
        <f>SUM(O82:O106)</f>
        <v>0</v>
      </c>
      <c r="P107" s="224">
        <f>SUM(P82:P106)</f>
        <v>0</v>
      </c>
      <c r="Q107" s="899">
        <f>SUM(Q82:Q106)</f>
        <v>0</v>
      </c>
      <c r="R107" s="223">
        <f>SUM(R82:R106)</f>
        <v>0</v>
      </c>
      <c r="S107" s="161">
        <f>SUM(S82:S106)</f>
        <v>0</v>
      </c>
      <c r="T107" s="95"/>
      <c r="V107" s="890"/>
      <c r="W107" s="822"/>
      <c r="X107" s="822"/>
      <c r="Y107" s="822"/>
      <c r="Z107" s="822"/>
      <c r="AA107" s="822"/>
      <c r="AB107" s="822"/>
      <c r="AC107" s="822"/>
      <c r="AD107" s="822"/>
      <c r="AE107" s="822"/>
      <c r="AF107" s="822"/>
      <c r="AG107" s="822"/>
      <c r="AH107" s="822"/>
      <c r="AI107" s="821"/>
    </row>
    <row r="108" spans="2:35" ht="23.1" customHeight="1">
      <c r="B108" s="105"/>
      <c r="C108" s="202"/>
      <c r="D108" s="202"/>
      <c r="E108" s="203"/>
      <c r="F108" s="203"/>
      <c r="G108" s="203"/>
      <c r="H108" s="692"/>
      <c r="I108" s="692"/>
      <c r="J108" s="692"/>
      <c r="K108" s="203"/>
      <c r="L108" s="203"/>
      <c r="M108" s="203"/>
      <c r="N108" s="203"/>
      <c r="O108" s="203"/>
      <c r="P108" s="203"/>
      <c r="Q108" s="203"/>
      <c r="R108" s="203"/>
      <c r="S108" s="203"/>
      <c r="T108" s="95"/>
      <c r="V108" s="890"/>
      <c r="W108" s="822"/>
      <c r="X108" s="822"/>
      <c r="Y108" s="822"/>
      <c r="Z108" s="822"/>
      <c r="AA108" s="822"/>
      <c r="AB108" s="822"/>
      <c r="AC108" s="822"/>
      <c r="AD108" s="822"/>
      <c r="AE108" s="822"/>
      <c r="AF108" s="822"/>
      <c r="AG108" s="822"/>
      <c r="AH108" s="822"/>
      <c r="AI108" s="821"/>
    </row>
    <row r="109" spans="2:35" ht="23.1" customHeight="1">
      <c r="B109" s="105"/>
      <c r="C109" s="202"/>
      <c r="D109" s="202"/>
      <c r="E109" s="203"/>
      <c r="F109" s="203"/>
      <c r="G109" s="203"/>
      <c r="H109" s="692"/>
      <c r="I109" s="692"/>
      <c r="J109" s="692"/>
      <c r="K109" s="203"/>
      <c r="L109" s="203"/>
      <c r="M109" s="203"/>
      <c r="N109" s="203"/>
      <c r="O109" s="203"/>
      <c r="P109" s="203"/>
      <c r="Q109" s="203"/>
      <c r="R109" s="203"/>
      <c r="S109" s="203"/>
      <c r="T109" s="95"/>
      <c r="V109" s="890"/>
      <c r="W109" s="822"/>
      <c r="X109" s="822"/>
      <c r="Y109" s="822"/>
      <c r="Z109" s="822"/>
      <c r="AA109" s="822"/>
      <c r="AB109" s="822"/>
      <c r="AC109" s="822"/>
      <c r="AD109" s="822"/>
      <c r="AE109" s="822"/>
      <c r="AF109" s="822"/>
      <c r="AG109" s="822"/>
      <c r="AH109" s="822"/>
      <c r="AI109" s="821"/>
    </row>
    <row r="110" spans="2:35" s="228" customFormat="1" ht="18" customHeight="1">
      <c r="B110" s="902"/>
      <c r="C110" s="682" t="s">
        <v>409</v>
      </c>
      <c r="E110" s="903"/>
      <c r="F110" s="903"/>
      <c r="G110" s="903"/>
      <c r="H110" s="903"/>
      <c r="I110" s="903"/>
      <c r="J110" s="903"/>
      <c r="K110" s="903"/>
      <c r="L110" s="903"/>
      <c r="M110" s="903"/>
      <c r="N110" s="97"/>
      <c r="O110" s="97"/>
      <c r="P110" s="97"/>
      <c r="Q110" s="97"/>
      <c r="R110" s="97"/>
      <c r="S110" s="97"/>
      <c r="T110" s="231"/>
      <c r="V110" s="904"/>
      <c r="W110" s="905"/>
      <c r="X110" s="905"/>
      <c r="Y110" s="905"/>
      <c r="Z110" s="905"/>
      <c r="AA110" s="905"/>
      <c r="AB110" s="905"/>
      <c r="AC110" s="905"/>
      <c r="AD110" s="905"/>
      <c r="AE110" s="905"/>
      <c r="AF110" s="905"/>
      <c r="AG110" s="905"/>
      <c r="AH110" s="905"/>
      <c r="AI110" s="906"/>
    </row>
    <row r="111" spans="2:35" s="228" customFormat="1" ht="18" customHeight="1">
      <c r="B111" s="902"/>
      <c r="C111" s="228" t="s">
        <v>962</v>
      </c>
      <c r="E111" s="903"/>
      <c r="F111" s="903"/>
      <c r="G111" s="903"/>
      <c r="H111" s="903"/>
      <c r="I111" s="903"/>
      <c r="J111" s="903"/>
      <c r="K111" s="903"/>
      <c r="L111" s="903"/>
      <c r="M111" s="903"/>
      <c r="N111" s="97"/>
      <c r="O111" s="97"/>
      <c r="P111" s="97"/>
      <c r="Q111" s="97"/>
      <c r="R111" s="97"/>
      <c r="S111" s="97"/>
      <c r="T111" s="231"/>
      <c r="V111" s="904"/>
      <c r="W111" s="905"/>
      <c r="X111" s="905"/>
      <c r="Y111" s="905"/>
      <c r="Z111" s="905"/>
      <c r="AA111" s="905"/>
      <c r="AB111" s="905"/>
      <c r="AC111" s="905"/>
      <c r="AD111" s="905"/>
      <c r="AE111" s="905"/>
      <c r="AF111" s="905"/>
      <c r="AG111" s="905"/>
      <c r="AH111" s="905"/>
      <c r="AI111" s="906"/>
    </row>
    <row r="112" spans="2:35" s="228" customFormat="1" ht="18" customHeight="1">
      <c r="B112" s="902"/>
      <c r="C112" s="228" t="s">
        <v>961</v>
      </c>
      <c r="E112" s="903"/>
      <c r="F112" s="903"/>
      <c r="G112" s="903"/>
      <c r="H112" s="903"/>
      <c r="I112" s="903"/>
      <c r="J112" s="903"/>
      <c r="K112" s="903"/>
      <c r="L112" s="903"/>
      <c r="M112" s="903"/>
      <c r="N112" s="97"/>
      <c r="O112" s="97"/>
      <c r="P112" s="97"/>
      <c r="Q112" s="97"/>
      <c r="R112" s="97"/>
      <c r="S112" s="97"/>
      <c r="T112" s="231"/>
      <c r="V112" s="904"/>
      <c r="W112" s="905"/>
      <c r="X112" s="905"/>
      <c r="Y112" s="905"/>
      <c r="Z112" s="905"/>
      <c r="AA112" s="905"/>
      <c r="AB112" s="905"/>
      <c r="AC112" s="905"/>
      <c r="AD112" s="905"/>
      <c r="AE112" s="905"/>
      <c r="AF112" s="905"/>
      <c r="AG112" s="905"/>
      <c r="AH112" s="905"/>
      <c r="AI112" s="906"/>
    </row>
    <row r="113" spans="2:35" s="228" customFormat="1" ht="18" customHeight="1">
      <c r="B113" s="902"/>
      <c r="C113" s="228" t="s">
        <v>775</v>
      </c>
      <c r="E113" s="903"/>
      <c r="F113" s="903"/>
      <c r="G113" s="903"/>
      <c r="H113" s="903"/>
      <c r="I113" s="903"/>
      <c r="J113" s="903"/>
      <c r="K113" s="903"/>
      <c r="L113" s="903"/>
      <c r="M113" s="903"/>
      <c r="N113" s="97"/>
      <c r="O113" s="97"/>
      <c r="P113" s="97"/>
      <c r="Q113" s="97"/>
      <c r="R113" s="97"/>
      <c r="S113" s="97"/>
      <c r="T113" s="231"/>
      <c r="V113" s="904"/>
      <c r="W113" s="905"/>
      <c r="X113" s="905"/>
      <c r="Y113" s="905"/>
      <c r="Z113" s="905"/>
      <c r="AA113" s="905"/>
      <c r="AB113" s="905"/>
      <c r="AC113" s="905"/>
      <c r="AD113" s="905"/>
      <c r="AE113" s="905"/>
      <c r="AF113" s="905"/>
      <c r="AG113" s="905"/>
      <c r="AH113" s="905"/>
      <c r="AI113" s="906"/>
    </row>
    <row r="114" spans="2:35" s="228" customFormat="1" ht="18" customHeight="1">
      <c r="B114" s="902"/>
      <c r="C114" s="907" t="s">
        <v>759</v>
      </c>
      <c r="E114" s="903"/>
      <c r="F114" s="903"/>
      <c r="G114" s="903"/>
      <c r="H114" s="903"/>
      <c r="I114" s="903"/>
      <c r="J114" s="903"/>
      <c r="K114" s="903"/>
      <c r="L114" s="903"/>
      <c r="M114" s="903"/>
      <c r="N114" s="97"/>
      <c r="O114" s="97"/>
      <c r="P114" s="97"/>
      <c r="Q114" s="97"/>
      <c r="R114" s="97"/>
      <c r="S114" s="97"/>
      <c r="T114" s="231"/>
      <c r="V114" s="904"/>
      <c r="W114" s="905"/>
      <c r="X114" s="905"/>
      <c r="Y114" s="905"/>
      <c r="Z114" s="905"/>
      <c r="AA114" s="905"/>
      <c r="AB114" s="905"/>
      <c r="AC114" s="905"/>
      <c r="AD114" s="905"/>
      <c r="AE114" s="905"/>
      <c r="AF114" s="905"/>
      <c r="AG114" s="905"/>
      <c r="AH114" s="905"/>
      <c r="AI114" s="906"/>
    </row>
    <row r="115" spans="2:35" s="228" customFormat="1" ht="18" customHeight="1">
      <c r="B115" s="902"/>
      <c r="C115" s="907" t="s">
        <v>1012</v>
      </c>
      <c r="E115" s="903"/>
      <c r="F115" s="903"/>
      <c r="G115" s="903"/>
      <c r="H115" s="903"/>
      <c r="I115" s="903"/>
      <c r="J115" s="903"/>
      <c r="K115" s="903"/>
      <c r="L115" s="903"/>
      <c r="M115" s="903"/>
      <c r="N115" s="97"/>
      <c r="O115" s="97"/>
      <c r="P115" s="97"/>
      <c r="Q115" s="97"/>
      <c r="R115" s="97"/>
      <c r="S115" s="97"/>
      <c r="T115" s="231"/>
      <c r="V115" s="904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5"/>
      <c r="AG115" s="905"/>
      <c r="AH115" s="905"/>
      <c r="AI115" s="906"/>
    </row>
    <row r="116" spans="2:35" s="228" customFormat="1" ht="18" customHeight="1">
      <c r="B116" s="902"/>
      <c r="C116" s="228" t="s">
        <v>1013</v>
      </c>
      <c r="E116" s="903"/>
      <c r="F116" s="903"/>
      <c r="G116" s="903"/>
      <c r="H116" s="903"/>
      <c r="I116" s="903"/>
      <c r="J116" s="903"/>
      <c r="K116" s="903"/>
      <c r="L116" s="903"/>
      <c r="M116" s="903"/>
      <c r="N116" s="97"/>
      <c r="O116" s="97"/>
      <c r="P116" s="97"/>
      <c r="Q116" s="97"/>
      <c r="R116" s="97"/>
      <c r="S116" s="97"/>
      <c r="T116" s="231"/>
      <c r="V116" s="904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5"/>
      <c r="AG116" s="905"/>
      <c r="AH116" s="905"/>
      <c r="AI116" s="906"/>
    </row>
    <row r="117" spans="2:35" s="228" customFormat="1" ht="18" customHeight="1">
      <c r="B117" s="902"/>
      <c r="C117" s="907" t="s">
        <v>1014</v>
      </c>
      <c r="E117" s="908"/>
      <c r="F117" s="908"/>
      <c r="G117" s="908"/>
      <c r="H117" s="908"/>
      <c r="I117" s="908"/>
      <c r="J117" s="908"/>
      <c r="K117" s="908"/>
      <c r="L117" s="908"/>
      <c r="M117" s="908"/>
      <c r="N117" s="97"/>
      <c r="O117" s="97"/>
      <c r="P117" s="97"/>
      <c r="Q117" s="97"/>
      <c r="R117" s="97"/>
      <c r="S117" s="97"/>
      <c r="T117" s="231"/>
      <c r="V117" s="904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5"/>
      <c r="AG117" s="905"/>
      <c r="AH117" s="905"/>
      <c r="AI117" s="906"/>
    </row>
    <row r="118" spans="2:35" s="228" customFormat="1" ht="18" customHeight="1">
      <c r="B118" s="902"/>
      <c r="C118" s="907" t="s">
        <v>1015</v>
      </c>
      <c r="E118" s="908"/>
      <c r="F118" s="908"/>
      <c r="G118" s="908"/>
      <c r="H118" s="908"/>
      <c r="I118" s="908"/>
      <c r="J118" s="908"/>
      <c r="K118" s="908"/>
      <c r="L118" s="908"/>
      <c r="M118" s="908"/>
      <c r="N118" s="97"/>
      <c r="O118" s="97"/>
      <c r="P118" s="97"/>
      <c r="Q118" s="97"/>
      <c r="R118" s="97"/>
      <c r="S118" s="97"/>
      <c r="T118" s="231"/>
      <c r="V118" s="904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5"/>
      <c r="AG118" s="905"/>
      <c r="AH118" s="905"/>
      <c r="AI118" s="906"/>
    </row>
    <row r="119" spans="2:35" s="228" customFormat="1" ht="18" customHeight="1">
      <c r="B119" s="902"/>
      <c r="C119" s="907" t="s">
        <v>1016</v>
      </c>
      <c r="E119" s="908"/>
      <c r="F119" s="908"/>
      <c r="G119" s="908"/>
      <c r="H119" s="908"/>
      <c r="I119" s="908"/>
      <c r="J119" s="908"/>
      <c r="K119" s="908"/>
      <c r="L119" s="908"/>
      <c r="M119" s="908"/>
      <c r="N119" s="97"/>
      <c r="O119" s="97"/>
      <c r="P119" s="97"/>
      <c r="Q119" s="97"/>
      <c r="R119" s="97"/>
      <c r="S119" s="97"/>
      <c r="T119" s="231"/>
      <c r="V119" s="904"/>
      <c r="W119" s="905"/>
      <c r="X119" s="905"/>
      <c r="Y119" s="905"/>
      <c r="Z119" s="905"/>
      <c r="AA119" s="905"/>
      <c r="AB119" s="905"/>
      <c r="AC119" s="905"/>
      <c r="AD119" s="905"/>
      <c r="AE119" s="905"/>
      <c r="AF119" s="905"/>
      <c r="AG119" s="905"/>
      <c r="AH119" s="905"/>
      <c r="AI119" s="906"/>
    </row>
    <row r="120" spans="2:35" ht="23.1" customHeight="1" thickBot="1">
      <c r="B120" s="108"/>
      <c r="C120" s="1116"/>
      <c r="D120" s="1116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110"/>
      <c r="V120" s="909"/>
      <c r="W120" s="910"/>
      <c r="X120" s="910"/>
      <c r="Y120" s="910"/>
      <c r="Z120" s="910"/>
      <c r="AA120" s="910"/>
      <c r="AB120" s="910"/>
      <c r="AC120" s="910"/>
      <c r="AD120" s="910"/>
      <c r="AE120" s="910"/>
      <c r="AF120" s="910"/>
      <c r="AG120" s="910"/>
      <c r="AH120" s="910"/>
      <c r="AI120" s="911"/>
    </row>
    <row r="121" spans="2:35" ht="23.1" customHeight="1">
      <c r="U121" s="88" t="s">
        <v>951</v>
      </c>
    </row>
    <row r="122" spans="2:35" ht="12.75">
      <c r="C122" s="111" t="s">
        <v>72</v>
      </c>
      <c r="S122" s="86" t="s">
        <v>56</v>
      </c>
    </row>
    <row r="123" spans="2:35" ht="12.75">
      <c r="C123" s="111" t="s">
        <v>73</v>
      </c>
    </row>
    <row r="124" spans="2:35" ht="12.75">
      <c r="C124" s="111" t="s">
        <v>74</v>
      </c>
    </row>
    <row r="125" spans="2:35" ht="12.75">
      <c r="C125" s="111" t="s">
        <v>75</v>
      </c>
    </row>
    <row r="126" spans="2:35" ht="12.75">
      <c r="C126" s="111" t="s">
        <v>76</v>
      </c>
    </row>
  </sheetData>
  <sheetProtection password="C494" sheet="1" objects="1" scenarios="1" insertRows="0"/>
  <mergeCells count="10">
    <mergeCell ref="S6:S7"/>
    <mergeCell ref="D9:S9"/>
    <mergeCell ref="C12:D12"/>
    <mergeCell ref="C120:D120"/>
    <mergeCell ref="R16:S16"/>
    <mergeCell ref="H43:J43"/>
    <mergeCell ref="R48:S48"/>
    <mergeCell ref="H75:J75"/>
    <mergeCell ref="R80:S80"/>
    <mergeCell ref="H107:J10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2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Y42"/>
  <sheetViews>
    <sheetView topLeftCell="A17" zoomScale="125" zoomScaleNormal="125" zoomScalePageLayoutView="125" workbookViewId="0">
      <selection activeCell="F20" sqref="F20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14.44140625" style="88" customWidth="1"/>
    <col min="5" max="5" width="26.6640625" style="89" customWidth="1"/>
    <col min="6" max="9" width="13.44140625" style="89" customWidth="1"/>
    <col min="10" max="10" width="3.33203125" style="88" customWidth="1"/>
    <col min="11" max="16384" width="10.6640625" style="88"/>
  </cols>
  <sheetData>
    <row r="2" spans="1:25" ht="23.1" customHeight="1">
      <c r="D2" s="202" t="s">
        <v>374</v>
      </c>
    </row>
    <row r="3" spans="1:25" ht="23.1" customHeight="1">
      <c r="D3" s="202" t="s">
        <v>375</v>
      </c>
    </row>
    <row r="4" spans="1:25" ht="23.1" customHeight="1" thickBot="1">
      <c r="A4" s="88" t="s">
        <v>950</v>
      </c>
    </row>
    <row r="5" spans="1:25" ht="9" customHeight="1">
      <c r="B5" s="90"/>
      <c r="C5" s="91"/>
      <c r="D5" s="91"/>
      <c r="E5" s="92"/>
      <c r="F5" s="92"/>
      <c r="G5" s="92"/>
      <c r="H5" s="92"/>
      <c r="I5" s="92"/>
      <c r="J5" s="93"/>
      <c r="L5" s="386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8"/>
    </row>
    <row r="6" spans="1:25" ht="30" customHeight="1">
      <c r="B6" s="94"/>
      <c r="C6" s="59" t="s">
        <v>0</v>
      </c>
      <c r="I6" s="1110">
        <f>ejercicio</f>
        <v>2019</v>
      </c>
      <c r="J6" s="95"/>
      <c r="L6" s="389"/>
      <c r="M6" s="390" t="s">
        <v>689</v>
      </c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2"/>
    </row>
    <row r="7" spans="1:25" ht="30" customHeight="1">
      <c r="B7" s="94"/>
      <c r="C7" s="59" t="s">
        <v>1</v>
      </c>
      <c r="I7" s="1110"/>
      <c r="J7" s="95"/>
      <c r="L7" s="389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2"/>
    </row>
    <row r="8" spans="1:25" ht="30" customHeight="1">
      <c r="B8" s="94"/>
      <c r="C8" s="96"/>
      <c r="I8" s="97"/>
      <c r="J8" s="95"/>
      <c r="L8" s="389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2"/>
    </row>
    <row r="9" spans="1:25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74"/>
      <c r="L9" s="389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2"/>
    </row>
    <row r="10" spans="1:25" ht="7.35" customHeight="1">
      <c r="B10" s="94"/>
      <c r="J10" s="95"/>
      <c r="L10" s="389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2"/>
    </row>
    <row r="11" spans="1:25" s="104" customFormat="1" ht="30" customHeight="1">
      <c r="B11" s="100"/>
      <c r="C11" s="101" t="s">
        <v>447</v>
      </c>
      <c r="D11" s="101"/>
      <c r="E11" s="102"/>
      <c r="F11" s="102"/>
      <c r="G11" s="102"/>
      <c r="H11" s="102"/>
      <c r="I11" s="102"/>
      <c r="J11" s="103"/>
      <c r="L11" s="389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2"/>
    </row>
    <row r="12" spans="1:25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103"/>
      <c r="L12" s="389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2"/>
    </row>
    <row r="13" spans="1:25" s="104" customFormat="1" ht="16.350000000000001" customHeight="1">
      <c r="B13" s="100"/>
      <c r="C13" s="207"/>
      <c r="D13" s="210"/>
      <c r="E13" s="211"/>
      <c r="F13" s="208" t="s">
        <v>449</v>
      </c>
      <c r="G13" s="1233" t="s">
        <v>454</v>
      </c>
      <c r="H13" s="1234"/>
      <c r="I13" s="1235"/>
      <c r="J13" s="103"/>
      <c r="L13" s="389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2"/>
    </row>
    <row r="14" spans="1:25" s="104" customFormat="1" ht="16.350000000000001" customHeight="1">
      <c r="B14" s="100"/>
      <c r="C14" s="209"/>
      <c r="D14" s="212"/>
      <c r="E14" s="213"/>
      <c r="F14" s="191" t="s">
        <v>450</v>
      </c>
      <c r="G14" s="208" t="s">
        <v>451</v>
      </c>
      <c r="H14" s="208" t="s">
        <v>452</v>
      </c>
      <c r="I14" s="208" t="s">
        <v>453</v>
      </c>
      <c r="J14" s="103"/>
      <c r="L14" s="389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2"/>
    </row>
    <row r="15" spans="1:25" s="175" customFormat="1" ht="16.350000000000001" customHeight="1">
      <c r="B15" s="173"/>
      <c r="C15" s="1236" t="s">
        <v>448</v>
      </c>
      <c r="D15" s="1237"/>
      <c r="E15" s="1238"/>
      <c r="F15" s="186">
        <f>ejercicio</f>
        <v>2019</v>
      </c>
      <c r="G15" s="186">
        <f>ejercicio+1</f>
        <v>2020</v>
      </c>
      <c r="H15" s="186">
        <f>ejercicio+1</f>
        <v>2020</v>
      </c>
      <c r="I15" s="186">
        <f>ejercicio+1</f>
        <v>2020</v>
      </c>
      <c r="J15" s="174"/>
      <c r="L15" s="389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2"/>
    </row>
    <row r="16" spans="1:25" s="175" customFormat="1" ht="8.1" customHeight="1">
      <c r="B16" s="173"/>
      <c r="C16" s="59"/>
      <c r="D16" s="59"/>
      <c r="E16" s="172"/>
      <c r="F16" s="172"/>
      <c r="G16" s="172"/>
      <c r="H16" s="172"/>
      <c r="I16" s="172"/>
      <c r="J16" s="174"/>
      <c r="L16" s="389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2"/>
    </row>
    <row r="17" spans="1:25" s="29" customFormat="1" ht="23.1" customHeight="1" thickBot="1">
      <c r="A17" s="175"/>
      <c r="B17" s="173"/>
      <c r="C17" s="148" t="s">
        <v>455</v>
      </c>
      <c r="D17" s="149"/>
      <c r="E17" s="216"/>
      <c r="F17" s="503"/>
      <c r="G17" s="504"/>
      <c r="H17" s="505"/>
      <c r="I17" s="544"/>
      <c r="J17" s="106"/>
      <c r="L17" s="389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2"/>
    </row>
    <row r="18" spans="1:25" s="29" customFormat="1" ht="9" customHeight="1">
      <c r="A18" s="175"/>
      <c r="B18" s="173"/>
      <c r="F18" s="219"/>
      <c r="G18" s="220"/>
      <c r="H18" s="221"/>
      <c r="I18" s="222"/>
      <c r="J18" s="106"/>
      <c r="L18" s="389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2"/>
    </row>
    <row r="19" spans="1:25" s="29" customFormat="1" ht="23.1" customHeight="1" thickBot="1">
      <c r="A19" s="175"/>
      <c r="B19" s="173"/>
      <c r="C19" s="148" t="s">
        <v>285</v>
      </c>
      <c r="D19" s="149"/>
      <c r="E19" s="216"/>
      <c r="F19" s="161">
        <f>SUM(F20:F24)</f>
        <v>0</v>
      </c>
      <c r="G19" s="214">
        <f t="shared" ref="G19:I19" si="0">SUM(G20:G24)</f>
        <v>0</v>
      </c>
      <c r="H19" s="215">
        <f t="shared" si="0"/>
        <v>0</v>
      </c>
      <c r="I19" s="223">
        <f t="shared" si="0"/>
        <v>0</v>
      </c>
      <c r="J19" s="106"/>
      <c r="L19" s="389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2"/>
    </row>
    <row r="20" spans="1:25" s="29" customFormat="1" ht="23.1" customHeight="1">
      <c r="B20" s="105"/>
      <c r="C20" s="168" t="s">
        <v>456</v>
      </c>
      <c r="D20" s="169"/>
      <c r="E20" s="171"/>
      <c r="F20" s="493"/>
      <c r="G20" s="506"/>
      <c r="H20" s="474"/>
      <c r="I20" s="545"/>
      <c r="J20" s="106"/>
      <c r="L20" s="389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2"/>
    </row>
    <row r="21" spans="1:25" s="29" customFormat="1" ht="23.1" customHeight="1">
      <c r="B21" s="105"/>
      <c r="C21" s="168" t="s">
        <v>457</v>
      </c>
      <c r="D21" s="169"/>
      <c r="E21" s="171"/>
      <c r="F21" s="493"/>
      <c r="G21" s="506"/>
      <c r="H21" s="474"/>
      <c r="I21" s="545"/>
      <c r="J21" s="106"/>
      <c r="L21" s="389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2"/>
    </row>
    <row r="22" spans="1:25" s="29" customFormat="1" ht="23.1" customHeight="1">
      <c r="B22" s="105"/>
      <c r="C22" s="168" t="s">
        <v>458</v>
      </c>
      <c r="D22" s="169"/>
      <c r="E22" s="171"/>
      <c r="F22" s="493"/>
      <c r="G22" s="506"/>
      <c r="H22" s="474"/>
      <c r="I22" s="545"/>
      <c r="J22" s="106"/>
      <c r="L22" s="389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2"/>
    </row>
    <row r="23" spans="1:25" ht="23.1" customHeight="1">
      <c r="B23" s="105"/>
      <c r="C23" s="144" t="s">
        <v>459</v>
      </c>
      <c r="D23" s="145"/>
      <c r="E23" s="164"/>
      <c r="F23" s="494"/>
      <c r="G23" s="507"/>
      <c r="H23" s="467"/>
      <c r="I23" s="546"/>
      <c r="J23" s="95"/>
      <c r="L23" s="389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2"/>
    </row>
    <row r="24" spans="1:25" ht="23.1" customHeight="1">
      <c r="B24" s="105"/>
      <c r="C24" s="146" t="s">
        <v>460</v>
      </c>
      <c r="D24" s="147"/>
      <c r="E24" s="165"/>
      <c r="F24" s="496"/>
      <c r="G24" s="508"/>
      <c r="H24" s="471"/>
      <c r="I24" s="547"/>
      <c r="J24" s="95"/>
      <c r="L24" s="389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2"/>
    </row>
    <row r="25" spans="1:25" ht="8.1" customHeight="1">
      <c r="B25" s="94"/>
      <c r="C25" s="1239"/>
      <c r="D25" s="1239"/>
      <c r="E25" s="1239"/>
      <c r="F25" s="1239"/>
      <c r="G25" s="1239"/>
      <c r="H25" s="1239"/>
      <c r="I25" s="1239"/>
      <c r="J25" s="95"/>
      <c r="L25" s="389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2"/>
    </row>
    <row r="26" spans="1:25" s="29" customFormat="1" ht="23.1" customHeight="1" thickBot="1">
      <c r="A26" s="175"/>
      <c r="B26" s="173"/>
      <c r="C26" s="148" t="s">
        <v>461</v>
      </c>
      <c r="D26" s="149"/>
      <c r="E26" s="216"/>
      <c r="F26" s="161">
        <f>+SUM(F27:F28)</f>
        <v>0</v>
      </c>
      <c r="G26" s="214">
        <f>SUM(G27:G28)</f>
        <v>0</v>
      </c>
      <c r="H26" s="215">
        <f>SUM(H27:H28)</f>
        <v>0</v>
      </c>
      <c r="I26" s="223">
        <f>SUM(I27:I28)</f>
        <v>0</v>
      </c>
      <c r="J26" s="106"/>
      <c r="L26" s="389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2"/>
    </row>
    <row r="27" spans="1:25" s="29" customFormat="1" ht="23.1" customHeight="1">
      <c r="B27" s="105"/>
      <c r="C27" s="168" t="s">
        <v>462</v>
      </c>
      <c r="D27" s="169"/>
      <c r="E27" s="171"/>
      <c r="F27" s="493"/>
      <c r="G27" s="548"/>
      <c r="H27" s="549"/>
      <c r="I27" s="545"/>
      <c r="J27" s="106"/>
      <c r="L27" s="389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2"/>
    </row>
    <row r="28" spans="1:25" ht="23.1" customHeight="1">
      <c r="B28" s="105"/>
      <c r="C28" s="146" t="s">
        <v>463</v>
      </c>
      <c r="D28" s="147"/>
      <c r="E28" s="165"/>
      <c r="F28" s="496"/>
      <c r="G28" s="550"/>
      <c r="H28" s="551"/>
      <c r="I28" s="552"/>
      <c r="J28" s="95"/>
      <c r="L28" s="389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2"/>
    </row>
    <row r="29" spans="1:25" ht="8.1" customHeight="1">
      <c r="B29" s="94"/>
      <c r="C29" s="1239"/>
      <c r="D29" s="1239"/>
      <c r="E29" s="1239"/>
      <c r="F29" s="1239"/>
      <c r="G29" s="1239"/>
      <c r="H29" s="1239"/>
      <c r="I29" s="1239"/>
      <c r="J29" s="95"/>
      <c r="L29" s="389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2"/>
    </row>
    <row r="30" spans="1:25" ht="23.1" customHeight="1" thickBot="1">
      <c r="B30" s="105"/>
      <c r="C30" s="148" t="s">
        <v>464</v>
      </c>
      <c r="D30" s="149"/>
      <c r="E30" s="216"/>
      <c r="F30" s="161">
        <f>SUM(F31:F32)</f>
        <v>0</v>
      </c>
      <c r="G30" s="214">
        <f>SUM(G31:G32)</f>
        <v>0</v>
      </c>
      <c r="H30" s="215">
        <f>SUM(H31:H32)</f>
        <v>0</v>
      </c>
      <c r="I30" s="223">
        <f>SUM(I31:I32)</f>
        <v>0</v>
      </c>
      <c r="J30" s="95"/>
      <c r="L30" s="389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2"/>
    </row>
    <row r="31" spans="1:25" ht="23.1" customHeight="1">
      <c r="B31" s="105"/>
      <c r="C31" s="168" t="s">
        <v>462</v>
      </c>
      <c r="D31" s="169"/>
      <c r="E31" s="171"/>
      <c r="F31" s="493"/>
      <c r="G31" s="553"/>
      <c r="H31" s="554"/>
      <c r="I31" s="555"/>
      <c r="J31" s="95"/>
      <c r="L31" s="389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2"/>
    </row>
    <row r="32" spans="1:25" ht="23.1" customHeight="1">
      <c r="B32" s="105"/>
      <c r="C32" s="146" t="s">
        <v>463</v>
      </c>
      <c r="D32" s="147"/>
      <c r="E32" s="165"/>
      <c r="F32" s="496"/>
      <c r="G32" s="550"/>
      <c r="H32" s="551"/>
      <c r="I32" s="552"/>
      <c r="J32" s="95"/>
      <c r="L32" s="389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2"/>
    </row>
    <row r="33" spans="2:25" ht="23.1" customHeight="1">
      <c r="B33" s="105"/>
      <c r="C33" s="202"/>
      <c r="D33" s="202"/>
      <c r="E33" s="203"/>
      <c r="F33" s="204"/>
      <c r="G33" s="203"/>
      <c r="H33" s="203"/>
      <c r="I33" s="205"/>
      <c r="J33" s="95"/>
      <c r="L33" s="389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2"/>
    </row>
    <row r="34" spans="2:25" ht="23.1" customHeight="1">
      <c r="B34" s="105"/>
      <c r="C34" s="157" t="s">
        <v>409</v>
      </c>
      <c r="D34" s="155"/>
      <c r="E34" s="156"/>
      <c r="F34" s="156"/>
      <c r="G34" s="156"/>
      <c r="H34" s="156"/>
      <c r="I34" s="87"/>
      <c r="J34" s="95"/>
      <c r="L34" s="389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2"/>
    </row>
    <row r="35" spans="2:25" ht="18">
      <c r="B35" s="105"/>
      <c r="C35" s="218" t="s">
        <v>465</v>
      </c>
      <c r="D35" s="155"/>
      <c r="E35" s="156"/>
      <c r="F35" s="156"/>
      <c r="G35" s="156"/>
      <c r="H35" s="156"/>
      <c r="I35" s="87"/>
      <c r="J35" s="95"/>
      <c r="L35" s="389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2"/>
    </row>
    <row r="36" spans="2:25" ht="23.1" customHeight="1" thickBot="1">
      <c r="B36" s="108"/>
      <c r="C36" s="1116"/>
      <c r="D36" s="1116"/>
      <c r="E36" s="1116"/>
      <c r="F36" s="1116"/>
      <c r="G36" s="48"/>
      <c r="H36" s="48"/>
      <c r="I36" s="109"/>
      <c r="J36" s="110"/>
      <c r="L36" s="405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7"/>
    </row>
    <row r="37" spans="2:25" ht="23.1" customHeight="1">
      <c r="K37" s="88" t="s">
        <v>951</v>
      </c>
    </row>
    <row r="38" spans="2:25" ht="12.75">
      <c r="C38" s="111" t="s">
        <v>72</v>
      </c>
      <c r="I38" s="86" t="s">
        <v>58</v>
      </c>
    </row>
    <row r="39" spans="2:25" ht="12.75">
      <c r="C39" s="111" t="s">
        <v>73</v>
      </c>
    </row>
    <row r="40" spans="2:25" ht="12.75">
      <c r="C40" s="111" t="s">
        <v>74</v>
      </c>
    </row>
    <row r="41" spans="2:25" ht="12.75">
      <c r="C41" s="111" t="s">
        <v>75</v>
      </c>
    </row>
    <row r="42" spans="2:25" ht="12.75">
      <c r="C42" s="111" t="s">
        <v>76</v>
      </c>
    </row>
  </sheetData>
  <sheetProtection password="C494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D30"/>
  <sheetViews>
    <sheetView topLeftCell="A2" zoomScale="125" zoomScaleNormal="125" zoomScalePageLayoutView="125" workbookViewId="0">
      <selection activeCell="I20" sqref="I20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33.44140625" style="88" customWidth="1"/>
    <col min="5" max="14" width="13.44140625" style="89" customWidth="1"/>
    <col min="15" max="15" width="3.33203125" style="88" customWidth="1"/>
    <col min="16" max="16384" width="10.6640625" style="88"/>
  </cols>
  <sheetData>
    <row r="2" spans="1:30" ht="23.1" customHeight="1">
      <c r="D2" s="202" t="s">
        <v>374</v>
      </c>
    </row>
    <row r="3" spans="1:30" ht="23.1" customHeight="1">
      <c r="D3" s="202" t="s">
        <v>375</v>
      </c>
    </row>
    <row r="4" spans="1:30" ht="23.1" customHeight="1" thickBot="1">
      <c r="A4" s="88" t="s">
        <v>950</v>
      </c>
    </row>
    <row r="5" spans="1:30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Q5" s="411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3"/>
    </row>
    <row r="6" spans="1:30" ht="30" customHeight="1">
      <c r="B6" s="94"/>
      <c r="C6" s="59" t="s">
        <v>0</v>
      </c>
      <c r="N6" s="1110">
        <f>ejercicio</f>
        <v>2019</v>
      </c>
      <c r="O6" s="95"/>
      <c r="Q6" s="414"/>
      <c r="R6" s="415" t="s">
        <v>689</v>
      </c>
      <c r="S6" s="415"/>
      <c r="T6" s="415"/>
      <c r="U6" s="415"/>
      <c r="V6" s="416"/>
      <c r="W6" s="416"/>
      <c r="X6" s="416"/>
      <c r="Y6" s="416"/>
      <c r="Z6" s="416"/>
      <c r="AA6" s="416"/>
      <c r="AB6" s="416"/>
      <c r="AC6" s="416"/>
      <c r="AD6" s="417"/>
    </row>
    <row r="7" spans="1:30" ht="30" customHeight="1">
      <c r="B7" s="94"/>
      <c r="C7" s="59" t="s">
        <v>1</v>
      </c>
      <c r="N7" s="1110"/>
      <c r="O7" s="95"/>
      <c r="Q7" s="414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7"/>
    </row>
    <row r="8" spans="1:30" ht="30" customHeight="1">
      <c r="B8" s="94"/>
      <c r="C8" s="96"/>
      <c r="N8" s="97"/>
      <c r="O8" s="95"/>
      <c r="Q8" s="414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7"/>
    </row>
    <row r="9" spans="1:30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74"/>
      <c r="Q9" s="414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7"/>
    </row>
    <row r="10" spans="1:30" ht="7.35" customHeight="1">
      <c r="B10" s="94"/>
      <c r="O10" s="95"/>
      <c r="Q10" s="414"/>
      <c r="R10" s="416"/>
      <c r="S10" s="416"/>
      <c r="T10" s="416"/>
      <c r="U10" s="416"/>
      <c r="V10" s="416"/>
      <c r="W10" s="416"/>
      <c r="X10" s="416"/>
      <c r="Y10" s="416"/>
      <c r="Z10" s="416"/>
      <c r="AA10" s="416"/>
      <c r="AB10" s="416"/>
      <c r="AC10" s="416"/>
      <c r="AD10" s="417"/>
    </row>
    <row r="11" spans="1:30" s="104" customFormat="1" ht="30" customHeight="1">
      <c r="B11" s="100"/>
      <c r="C11" s="101" t="s">
        <v>467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Q11" s="414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7"/>
    </row>
    <row r="12" spans="1:30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3"/>
      <c r="Q12" s="414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7"/>
    </row>
    <row r="13" spans="1:30" s="104" customFormat="1" ht="19.350000000000001" customHeight="1">
      <c r="B13" s="100"/>
      <c r="C13" s="207"/>
      <c r="D13" s="210"/>
      <c r="E13" s="1240" t="s">
        <v>466</v>
      </c>
      <c r="F13" s="1241"/>
      <c r="G13" s="1241"/>
      <c r="H13" s="1241"/>
      <c r="I13" s="1241"/>
      <c r="J13" s="1241"/>
      <c r="K13" s="1241"/>
      <c r="L13" s="1241"/>
      <c r="M13" s="1241"/>
      <c r="N13" s="1242"/>
      <c r="O13" s="103"/>
      <c r="Q13" s="414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7"/>
    </row>
    <row r="14" spans="1:30" s="175" customFormat="1" ht="19.350000000000001" customHeight="1">
      <c r="B14" s="173"/>
      <c r="C14" s="1236" t="s">
        <v>448</v>
      </c>
      <c r="D14" s="1237"/>
      <c r="E14" s="225">
        <f>ejercicio+1</f>
        <v>2020</v>
      </c>
      <c r="F14" s="226">
        <f>ejercicio+2</f>
        <v>2021</v>
      </c>
      <c r="G14" s="226">
        <f>ejercicio+3</f>
        <v>2022</v>
      </c>
      <c r="H14" s="226">
        <f>ejercicio+4</f>
        <v>2023</v>
      </c>
      <c r="I14" s="226">
        <f>ejercicio+5</f>
        <v>2024</v>
      </c>
      <c r="J14" s="226">
        <f>ejercicio+6</f>
        <v>2025</v>
      </c>
      <c r="K14" s="226">
        <f>ejercicio+7</f>
        <v>2026</v>
      </c>
      <c r="L14" s="226">
        <f>ejercicio+8</f>
        <v>2027</v>
      </c>
      <c r="M14" s="226">
        <f>ejercicio+9</f>
        <v>2028</v>
      </c>
      <c r="N14" s="227">
        <f>ejercicio+10</f>
        <v>2029</v>
      </c>
      <c r="O14" s="174"/>
      <c r="Q14" s="414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7"/>
    </row>
    <row r="15" spans="1:30" s="29" customFormat="1" ht="23.1" customHeight="1">
      <c r="B15" s="105"/>
      <c r="C15" s="168" t="s">
        <v>456</v>
      </c>
      <c r="D15" s="169"/>
      <c r="E15" s="462"/>
      <c r="F15" s="463"/>
      <c r="G15" s="463"/>
      <c r="H15" s="463"/>
      <c r="I15" s="463"/>
      <c r="J15" s="463"/>
      <c r="K15" s="463"/>
      <c r="L15" s="463"/>
      <c r="M15" s="463"/>
      <c r="N15" s="755"/>
      <c r="O15" s="106"/>
      <c r="Q15" s="414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7"/>
    </row>
    <row r="16" spans="1:30" s="29" customFormat="1" ht="23.1" customHeight="1">
      <c r="B16" s="105"/>
      <c r="C16" s="168" t="s">
        <v>457</v>
      </c>
      <c r="D16" s="169"/>
      <c r="E16" s="473"/>
      <c r="F16" s="474"/>
      <c r="G16" s="474"/>
      <c r="H16" s="474"/>
      <c r="I16" s="474"/>
      <c r="J16" s="474"/>
      <c r="K16" s="474"/>
      <c r="L16" s="474"/>
      <c r="M16" s="474"/>
      <c r="N16" s="545"/>
      <c r="O16" s="106"/>
      <c r="Q16" s="414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7"/>
    </row>
    <row r="17" spans="1:30" s="29" customFormat="1" ht="23.1" customHeight="1">
      <c r="B17" s="105"/>
      <c r="C17" s="168" t="s">
        <v>458</v>
      </c>
      <c r="D17" s="169"/>
      <c r="E17" s="473"/>
      <c r="F17" s="474"/>
      <c r="G17" s="474"/>
      <c r="H17" s="474"/>
      <c r="I17" s="474"/>
      <c r="J17" s="474"/>
      <c r="K17" s="474"/>
      <c r="L17" s="474"/>
      <c r="M17" s="474"/>
      <c r="N17" s="545"/>
      <c r="O17" s="106"/>
      <c r="Q17" s="414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7"/>
    </row>
    <row r="18" spans="1:30" ht="23.1" customHeight="1">
      <c r="B18" s="105"/>
      <c r="C18" s="144" t="s">
        <v>459</v>
      </c>
      <c r="D18" s="145"/>
      <c r="E18" s="466"/>
      <c r="F18" s="467"/>
      <c r="G18" s="467"/>
      <c r="H18" s="467"/>
      <c r="I18" s="467"/>
      <c r="J18" s="467"/>
      <c r="K18" s="467"/>
      <c r="L18" s="467"/>
      <c r="M18" s="467"/>
      <c r="N18" s="546"/>
      <c r="O18" s="95"/>
      <c r="Q18" s="414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7"/>
    </row>
    <row r="19" spans="1:30" ht="23.1" customHeight="1">
      <c r="B19" s="105"/>
      <c r="C19" s="146" t="s">
        <v>460</v>
      </c>
      <c r="D19" s="147"/>
      <c r="E19" s="470"/>
      <c r="F19" s="471"/>
      <c r="G19" s="471"/>
      <c r="H19" s="471"/>
      <c r="I19" s="471"/>
      <c r="J19" s="471"/>
      <c r="K19" s="471"/>
      <c r="L19" s="471"/>
      <c r="M19" s="471"/>
      <c r="N19" s="547"/>
      <c r="O19" s="95"/>
      <c r="Q19" s="414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7"/>
    </row>
    <row r="20" spans="1:30" s="29" customFormat="1" ht="23.1" customHeight="1" thickBot="1">
      <c r="A20" s="175"/>
      <c r="B20" s="173"/>
      <c r="C20" s="148" t="s">
        <v>468</v>
      </c>
      <c r="D20" s="149"/>
      <c r="E20" s="224">
        <f>SUM(E15:E19)</f>
        <v>0</v>
      </c>
      <c r="F20" s="215">
        <f t="shared" ref="F20:N20" si="0">SUM(F15:F19)</f>
        <v>0</v>
      </c>
      <c r="G20" s="215">
        <f t="shared" si="0"/>
        <v>0</v>
      </c>
      <c r="H20" s="215">
        <f t="shared" si="0"/>
        <v>0</v>
      </c>
      <c r="I20" s="215">
        <f t="shared" si="0"/>
        <v>0</v>
      </c>
      <c r="J20" s="215">
        <f t="shared" si="0"/>
        <v>0</v>
      </c>
      <c r="K20" s="215">
        <f t="shared" si="0"/>
        <v>0</v>
      </c>
      <c r="L20" s="215">
        <f t="shared" si="0"/>
        <v>0</v>
      </c>
      <c r="M20" s="215">
        <f t="shared" si="0"/>
        <v>0</v>
      </c>
      <c r="N20" s="223">
        <f t="shared" si="0"/>
        <v>0</v>
      </c>
      <c r="O20" s="106"/>
      <c r="Q20" s="414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7"/>
    </row>
    <row r="21" spans="1:30" ht="23.1" customHeight="1">
      <c r="B21" s="105"/>
      <c r="C21" s="202"/>
      <c r="D21" s="202"/>
      <c r="E21" s="203"/>
      <c r="F21" s="203"/>
      <c r="G21" s="203"/>
      <c r="H21" s="203"/>
      <c r="I21" s="203"/>
      <c r="J21" s="203"/>
      <c r="K21" s="203"/>
      <c r="L21" s="203"/>
      <c r="M21" s="203"/>
      <c r="N21" s="205"/>
      <c r="O21" s="95"/>
      <c r="Q21" s="414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7"/>
    </row>
    <row r="22" spans="1:30" ht="23.1" customHeight="1">
      <c r="B22" s="105"/>
      <c r="C22" s="157" t="s">
        <v>821</v>
      </c>
      <c r="D22" s="155"/>
      <c r="E22" s="156"/>
      <c r="F22" s="156"/>
      <c r="G22" s="156"/>
      <c r="H22" s="156"/>
      <c r="I22" s="156"/>
      <c r="J22" s="156"/>
      <c r="K22" s="156"/>
      <c r="L22" s="156"/>
      <c r="M22" s="156"/>
      <c r="N22" s="87"/>
      <c r="O22" s="95"/>
      <c r="Q22" s="414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7"/>
    </row>
    <row r="23" spans="1:30" ht="18">
      <c r="B23" s="105"/>
      <c r="C23" s="218" t="s">
        <v>465</v>
      </c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87"/>
      <c r="O23" s="95"/>
      <c r="Q23" s="414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6"/>
      <c r="AC23" s="416"/>
      <c r="AD23" s="417"/>
    </row>
    <row r="24" spans="1:30" ht="23.1" customHeight="1" thickBot="1">
      <c r="B24" s="108"/>
      <c r="C24" s="1116"/>
      <c r="D24" s="1116"/>
      <c r="E24" s="48"/>
      <c r="F24" s="48"/>
      <c r="G24" s="48"/>
      <c r="H24" s="48"/>
      <c r="I24" s="48"/>
      <c r="J24" s="48"/>
      <c r="K24" s="48"/>
      <c r="L24" s="48"/>
      <c r="M24" s="48"/>
      <c r="N24" s="109"/>
      <c r="O24" s="110"/>
      <c r="Q24" s="408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10"/>
    </row>
    <row r="25" spans="1:30" ht="23.1" customHeight="1">
      <c r="P25" s="88" t="s">
        <v>951</v>
      </c>
    </row>
    <row r="26" spans="1:30" ht="12.75">
      <c r="C26" s="111" t="s">
        <v>72</v>
      </c>
      <c r="N26" s="86" t="s">
        <v>60</v>
      </c>
    </row>
    <row r="27" spans="1:30" ht="12.75">
      <c r="C27" s="111" t="s">
        <v>73</v>
      </c>
    </row>
    <row r="28" spans="1:30" ht="12.75">
      <c r="C28" s="111" t="s">
        <v>74</v>
      </c>
    </row>
    <row r="29" spans="1:30" ht="12.75">
      <c r="C29" s="111" t="s">
        <v>75</v>
      </c>
    </row>
    <row r="30" spans="1:30" ht="12.75">
      <c r="C30" s="111" t="s">
        <v>76</v>
      </c>
    </row>
  </sheetData>
  <sheetProtection algorithmName="SHA-512" hashValue="zjXb6+uPu01/y1Ka65gdLcFIyoPR+ZyTz8VaKxlKdI+y0A0lHN3d7F2FiXaSCQGCrU5+JtL0JPQBFYR4lwKQvw==" saltValue="e9gZsOgXNxfkDaEQARTorQ==" spinCount="100000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Z71"/>
  <sheetViews>
    <sheetView topLeftCell="A29" workbookViewId="0">
      <selection activeCell="F46" sqref="F46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5.33203125" style="88" customWidth="1"/>
    <col min="4" max="4" width="18.6640625" style="88" customWidth="1"/>
    <col min="5" max="5" width="13.33203125" style="88" customWidth="1"/>
    <col min="6" max="10" width="18.6640625" style="89" customWidth="1"/>
    <col min="11" max="11" width="3.33203125" style="88" customWidth="1"/>
    <col min="12" max="16384" width="10.6640625" style="88"/>
  </cols>
  <sheetData>
    <row r="2" spans="1:26" ht="23.1" customHeight="1">
      <c r="E2" s="202" t="s">
        <v>374</v>
      </c>
    </row>
    <row r="3" spans="1:26" ht="23.1" customHeight="1">
      <c r="E3" s="202" t="s">
        <v>375</v>
      </c>
    </row>
    <row r="4" spans="1:26" ht="23.1" customHeight="1" thickBot="1">
      <c r="A4" s="88" t="s">
        <v>950</v>
      </c>
    </row>
    <row r="5" spans="1:26" ht="9" customHeight="1">
      <c r="B5" s="90"/>
      <c r="C5" s="91"/>
      <c r="D5" s="91"/>
      <c r="E5" s="91"/>
      <c r="F5" s="92"/>
      <c r="G5" s="92"/>
      <c r="H5" s="92"/>
      <c r="I5" s="92"/>
      <c r="J5" s="92"/>
      <c r="K5" s="93"/>
      <c r="M5" s="411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3"/>
    </row>
    <row r="6" spans="1:26" ht="30" customHeight="1">
      <c r="B6" s="94"/>
      <c r="C6" s="59" t="s">
        <v>0</v>
      </c>
      <c r="E6" s="89"/>
      <c r="J6" s="1110">
        <f>ejercicio</f>
        <v>2019</v>
      </c>
      <c r="K6" s="95"/>
      <c r="M6" s="414"/>
      <c r="N6" s="415" t="s">
        <v>689</v>
      </c>
      <c r="O6" s="415"/>
      <c r="P6" s="415"/>
      <c r="Q6" s="415"/>
      <c r="R6" s="416"/>
      <c r="S6" s="416"/>
      <c r="T6" s="416"/>
      <c r="U6" s="416"/>
      <c r="V6" s="416"/>
      <c r="W6" s="416"/>
      <c r="X6" s="416"/>
      <c r="Y6" s="416"/>
      <c r="Z6" s="417"/>
    </row>
    <row r="7" spans="1:26" ht="30" customHeight="1">
      <c r="B7" s="94"/>
      <c r="C7" s="59" t="s">
        <v>1</v>
      </c>
      <c r="E7" s="89"/>
      <c r="J7" s="1110"/>
      <c r="K7" s="95"/>
      <c r="M7" s="414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7"/>
    </row>
    <row r="8" spans="1:26" ht="30" customHeight="1">
      <c r="B8" s="94"/>
      <c r="C8" s="96"/>
      <c r="E8" s="89"/>
      <c r="J8" s="97"/>
      <c r="K8" s="95"/>
      <c r="M8" s="414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7"/>
    </row>
    <row r="9" spans="1:26" s="175" customFormat="1" ht="30" customHeight="1">
      <c r="B9" s="173"/>
      <c r="C9" s="36" t="s">
        <v>2</v>
      </c>
      <c r="D9" s="244"/>
      <c r="E9" s="1117" t="str">
        <f>Entidad</f>
        <v>TEA TENERIFE ESPACIO DE LAS ARTES</v>
      </c>
      <c r="F9" s="1117"/>
      <c r="G9" s="1117"/>
      <c r="H9" s="1117"/>
      <c r="I9" s="1117"/>
      <c r="J9" s="1117"/>
      <c r="K9" s="95"/>
      <c r="M9" s="414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7"/>
    </row>
    <row r="10" spans="1:26" ht="7.35" customHeight="1">
      <c r="B10" s="94"/>
      <c r="E10" s="89"/>
      <c r="J10" s="88"/>
      <c r="K10" s="95"/>
      <c r="M10" s="414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7"/>
    </row>
    <row r="11" spans="1:26" s="104" customFormat="1" ht="30" customHeight="1">
      <c r="B11" s="100"/>
      <c r="C11" s="101" t="s">
        <v>480</v>
      </c>
      <c r="D11" s="101"/>
      <c r="E11" s="102"/>
      <c r="F11" s="102"/>
      <c r="G11" s="102"/>
      <c r="H11" s="102"/>
      <c r="I11" s="102"/>
      <c r="J11" s="102"/>
      <c r="K11" s="95"/>
      <c r="M11" s="414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7"/>
    </row>
    <row r="12" spans="1:26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243"/>
      <c r="K12" s="95"/>
      <c r="M12" s="414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7"/>
    </row>
    <row r="13" spans="1:26" ht="29.1" customHeight="1">
      <c r="B13" s="105"/>
      <c r="C13" s="55" t="s">
        <v>505</v>
      </c>
      <c r="D13" s="141"/>
      <c r="E13" s="87"/>
      <c r="F13" s="87"/>
      <c r="G13" s="87"/>
      <c r="H13" s="87"/>
      <c r="I13" s="87"/>
      <c r="J13" s="88"/>
      <c r="K13" s="95"/>
      <c r="M13" s="414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7"/>
    </row>
    <row r="14" spans="1:26" ht="25.35" customHeight="1">
      <c r="B14" s="105"/>
      <c r="C14" s="567" t="s">
        <v>514</v>
      </c>
      <c r="D14" s="568"/>
      <c r="E14" s="141"/>
      <c r="F14" s="87"/>
      <c r="G14" s="87"/>
      <c r="H14" s="87"/>
      <c r="I14" s="87"/>
      <c r="J14" s="87"/>
      <c r="K14" s="95"/>
      <c r="M14" s="414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7"/>
    </row>
    <row r="15" spans="1:26" ht="23.1" customHeight="1">
      <c r="B15" s="105"/>
      <c r="C15" s="509" t="s">
        <v>667</v>
      </c>
      <c r="D15" s="202" t="s">
        <v>481</v>
      </c>
      <c r="F15" s="87"/>
      <c r="G15" s="87"/>
      <c r="H15" s="87"/>
      <c r="I15" s="87"/>
      <c r="J15" s="87"/>
      <c r="K15" s="95"/>
      <c r="M15" s="414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7"/>
    </row>
    <row r="16" spans="1:26" ht="9" customHeight="1">
      <c r="B16" s="105"/>
      <c r="C16" s="140"/>
      <c r="D16" s="202"/>
      <c r="F16" s="87"/>
      <c r="G16" s="87"/>
      <c r="H16" s="87"/>
      <c r="I16" s="87"/>
      <c r="J16" s="87"/>
      <c r="K16" s="95"/>
      <c r="M16" s="414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7"/>
    </row>
    <row r="17" spans="2:26" ht="23.1" customHeight="1">
      <c r="B17" s="105"/>
      <c r="C17" s="509"/>
      <c r="D17" s="202" t="s">
        <v>482</v>
      </c>
      <c r="F17" s="87"/>
      <c r="G17" s="87"/>
      <c r="H17" s="87"/>
      <c r="I17" s="87"/>
      <c r="J17" s="87"/>
      <c r="K17" s="95"/>
      <c r="M17" s="414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7"/>
    </row>
    <row r="18" spans="2:26" ht="10.35" customHeight="1">
      <c r="B18" s="105"/>
      <c r="C18" s="140"/>
      <c r="D18" s="202"/>
      <c r="F18" s="87"/>
      <c r="G18" s="87"/>
      <c r="H18" s="87"/>
      <c r="I18" s="87"/>
      <c r="J18" s="87"/>
      <c r="K18" s="95"/>
      <c r="M18" s="414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7"/>
    </row>
    <row r="19" spans="2:26" ht="23.1" customHeight="1">
      <c r="B19" s="105"/>
      <c r="C19" s="509"/>
      <c r="D19" s="202" t="s">
        <v>483</v>
      </c>
      <c r="F19" s="87"/>
      <c r="G19" s="87"/>
      <c r="H19" s="87"/>
      <c r="I19" s="87"/>
      <c r="J19" s="87"/>
      <c r="K19" s="95"/>
      <c r="M19" s="414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7"/>
    </row>
    <row r="20" spans="2:26" ht="9" customHeight="1">
      <c r="B20" s="105"/>
      <c r="C20" s="140"/>
      <c r="D20" s="202"/>
      <c r="F20" s="87"/>
      <c r="G20" s="87"/>
      <c r="H20" s="87"/>
      <c r="I20" s="87"/>
      <c r="J20" s="87"/>
      <c r="K20" s="95"/>
      <c r="M20" s="414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7"/>
    </row>
    <row r="21" spans="2:26" ht="23.1" customHeight="1">
      <c r="B21" s="105"/>
      <c r="C21" s="509"/>
      <c r="D21" s="202" t="s">
        <v>484</v>
      </c>
      <c r="F21" s="87"/>
      <c r="G21" s="87"/>
      <c r="H21" s="87"/>
      <c r="I21" s="87"/>
      <c r="J21" s="87"/>
      <c r="K21" s="95"/>
      <c r="M21" s="414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7"/>
    </row>
    <row r="22" spans="2:26" ht="9" customHeight="1">
      <c r="B22" s="105"/>
      <c r="C22" s="140"/>
      <c r="D22" s="202"/>
      <c r="F22" s="87"/>
      <c r="G22" s="87"/>
      <c r="H22" s="87"/>
      <c r="I22" s="87"/>
      <c r="J22" s="87"/>
      <c r="K22" s="95"/>
      <c r="M22" s="414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7"/>
    </row>
    <row r="23" spans="2:26" ht="23.1" customHeight="1">
      <c r="B23" s="105"/>
      <c r="C23" s="509"/>
      <c r="D23" s="202" t="s">
        <v>485</v>
      </c>
      <c r="F23" s="87"/>
      <c r="G23" s="87"/>
      <c r="H23" s="87"/>
      <c r="I23" s="87"/>
      <c r="J23" s="87"/>
      <c r="K23" s="95"/>
      <c r="M23" s="414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7"/>
    </row>
    <row r="24" spans="2:26" ht="23.1" customHeight="1">
      <c r="B24" s="105"/>
      <c r="C24" s="140"/>
      <c r="D24" s="202"/>
      <c r="F24" s="87"/>
      <c r="G24" s="87"/>
      <c r="H24" s="87"/>
      <c r="I24" s="87"/>
      <c r="J24" s="87"/>
      <c r="K24" s="95"/>
      <c r="M24" s="414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7"/>
    </row>
    <row r="25" spans="2:26" ht="23.1" customHeight="1">
      <c r="B25" s="105"/>
      <c r="C25" s="29"/>
      <c r="D25" s="141"/>
      <c r="E25" s="141"/>
      <c r="F25" s="87"/>
      <c r="G25" s="87"/>
      <c r="H25" s="87"/>
      <c r="I25" s="87"/>
      <c r="J25" s="87"/>
      <c r="K25" s="95"/>
      <c r="M25" s="414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7"/>
    </row>
    <row r="26" spans="2:26" ht="23.1" customHeight="1">
      <c r="B26" s="105"/>
      <c r="C26" s="55" t="s">
        <v>488</v>
      </c>
      <c r="E26" s="141"/>
      <c r="F26" s="87"/>
      <c r="G26" s="87"/>
      <c r="H26" s="87"/>
      <c r="I26" s="87"/>
      <c r="J26" s="87"/>
      <c r="K26" s="95"/>
      <c r="M26" s="414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7"/>
    </row>
    <row r="27" spans="2:26" ht="9" customHeight="1">
      <c r="B27" s="105"/>
      <c r="C27" s="55"/>
      <c r="E27" s="141"/>
      <c r="F27" s="87"/>
      <c r="G27" s="87"/>
      <c r="H27" s="87"/>
      <c r="I27" s="87"/>
      <c r="J27" s="87"/>
      <c r="K27" s="95"/>
      <c r="M27" s="414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7"/>
    </row>
    <row r="28" spans="2:26" ht="23.1" customHeight="1">
      <c r="B28" s="105"/>
      <c r="C28" s="176" t="str">
        <f>IF(VLOOKUP("X",C15:D23,2,FALSE)="#N/A",VLOOKUP("x",C15:D23,2,FALSE),VLOOKUP("X",C15:D23,2,FALSE))</f>
        <v xml:space="preserve">  Administracion General y Resto de sectores</v>
      </c>
      <c r="D28" s="177"/>
      <c r="E28" s="177"/>
      <c r="F28" s="177"/>
      <c r="G28" s="177"/>
      <c r="H28" s="253"/>
      <c r="I28" s="87"/>
      <c r="J28" s="87"/>
      <c r="K28" s="95"/>
      <c r="M28" s="414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7"/>
    </row>
    <row r="29" spans="2:26" ht="23.1" customHeight="1">
      <c r="B29" s="105"/>
      <c r="C29" s="29"/>
      <c r="D29" s="141"/>
      <c r="E29" s="141"/>
      <c r="F29" s="87"/>
      <c r="G29" s="87"/>
      <c r="H29" s="87"/>
      <c r="I29" s="87"/>
      <c r="J29" s="87"/>
      <c r="K29" s="95"/>
      <c r="M29" s="414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7"/>
    </row>
    <row r="30" spans="2:26" s="96" customFormat="1" ht="23.1" customHeight="1">
      <c r="B30" s="151"/>
      <c r="C30" s="176" t="s">
        <v>486</v>
      </c>
      <c r="D30" s="167"/>
      <c r="E30" s="193"/>
      <c r="F30" s="178">
        <f>E45</f>
        <v>11</v>
      </c>
      <c r="G30" s="87"/>
      <c r="H30" s="87"/>
      <c r="I30" s="87"/>
      <c r="J30" s="87"/>
      <c r="K30" s="114"/>
      <c r="M30" s="414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7"/>
    </row>
    <row r="31" spans="2:26" s="96" customFormat="1" ht="23.1" customHeight="1">
      <c r="B31" s="151"/>
      <c r="C31" s="259" t="s">
        <v>487</v>
      </c>
      <c r="D31" s="260"/>
      <c r="E31" s="261"/>
      <c r="F31" s="178">
        <f>J45+F53</f>
        <v>648064.86</v>
      </c>
      <c r="G31" s="87"/>
      <c r="H31" s="87"/>
      <c r="I31" s="87"/>
      <c r="J31" s="87"/>
      <c r="K31" s="114"/>
      <c r="M31" s="414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7"/>
    </row>
    <row r="32" spans="2:26" ht="23.1" customHeight="1">
      <c r="B32" s="105"/>
      <c r="D32" s="202"/>
      <c r="E32" s="141"/>
      <c r="F32" s="203"/>
      <c r="G32" s="87"/>
      <c r="H32" s="87"/>
      <c r="I32" s="87"/>
      <c r="J32" s="87"/>
      <c r="K32" s="95"/>
      <c r="M32" s="414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7"/>
    </row>
    <row r="33" spans="2:26" ht="23.1" customHeight="1">
      <c r="B33" s="105"/>
      <c r="C33" s="29"/>
      <c r="D33" s="141"/>
      <c r="E33" s="141"/>
      <c r="F33" s="87"/>
      <c r="G33" s="87"/>
      <c r="H33" s="87"/>
      <c r="I33" s="87"/>
      <c r="J33" s="87"/>
      <c r="K33" s="95"/>
      <c r="M33" s="414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</row>
    <row r="34" spans="2:26" ht="23.1" customHeight="1">
      <c r="B34" s="105"/>
      <c r="C34" s="55" t="s">
        <v>489</v>
      </c>
      <c r="E34" s="141"/>
      <c r="F34" s="87"/>
      <c r="G34" s="87"/>
      <c r="H34" s="87"/>
      <c r="I34" s="87"/>
      <c r="J34" s="87"/>
      <c r="K34" s="95"/>
      <c r="M34" s="414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7"/>
    </row>
    <row r="35" spans="2:26" ht="23.1" customHeight="1">
      <c r="B35" s="105"/>
      <c r="C35" s="29"/>
      <c r="D35" s="141"/>
      <c r="E35" s="141"/>
      <c r="F35" s="87"/>
      <c r="G35" s="87"/>
      <c r="H35" s="87"/>
      <c r="I35" s="87"/>
      <c r="J35" s="87"/>
      <c r="K35" s="95"/>
      <c r="M35" s="414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7"/>
    </row>
    <row r="36" spans="2:26" s="228" customFormat="1" ht="23.1" customHeight="1">
      <c r="B36" s="229"/>
      <c r="C36" s="245"/>
      <c r="D36" s="248"/>
      <c r="E36" s="230"/>
      <c r="F36" s="1180" t="s">
        <v>508</v>
      </c>
      <c r="G36" s="1181"/>
      <c r="H36" s="1181"/>
      <c r="I36" s="1181"/>
      <c r="J36" s="1182"/>
      <c r="K36" s="231"/>
      <c r="M36" s="414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7"/>
    </row>
    <row r="37" spans="2:26" s="228" customFormat="1" ht="24" customHeight="1">
      <c r="B37" s="229"/>
      <c r="C37" s="1198" t="s">
        <v>490</v>
      </c>
      <c r="D37" s="1199"/>
      <c r="E37" s="233" t="s">
        <v>497</v>
      </c>
      <c r="F37" s="232" t="s">
        <v>499</v>
      </c>
      <c r="G37" s="232" t="s">
        <v>668</v>
      </c>
      <c r="H37" s="232" t="s">
        <v>502</v>
      </c>
      <c r="I37" s="232" t="s">
        <v>504</v>
      </c>
      <c r="J37" s="241" t="s">
        <v>506</v>
      </c>
      <c r="K37" s="231"/>
      <c r="M37" s="414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7"/>
    </row>
    <row r="38" spans="2:26" s="228" customFormat="1" ht="24" customHeight="1">
      <c r="B38" s="229"/>
      <c r="C38" s="1214" t="s">
        <v>62</v>
      </c>
      <c r="D38" s="1215"/>
      <c r="E38" s="235" t="s">
        <v>498</v>
      </c>
      <c r="F38" s="234" t="s">
        <v>500</v>
      </c>
      <c r="G38" s="234" t="s">
        <v>501</v>
      </c>
      <c r="H38" s="234" t="s">
        <v>503</v>
      </c>
      <c r="I38" s="234" t="s">
        <v>507</v>
      </c>
      <c r="J38" s="237" t="s">
        <v>507</v>
      </c>
      <c r="K38" s="231"/>
      <c r="M38" s="414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7"/>
    </row>
    <row r="39" spans="2:26" ht="23.1" customHeight="1">
      <c r="B39" s="105"/>
      <c r="C39" s="168" t="s">
        <v>491</v>
      </c>
      <c r="D39" s="251"/>
      <c r="E39" s="560"/>
      <c r="F39" s="559"/>
      <c r="G39" s="559"/>
      <c r="H39" s="559"/>
      <c r="I39" s="559"/>
      <c r="J39" s="569">
        <f>SUM(F39:I39)</f>
        <v>0</v>
      </c>
      <c r="K39" s="95"/>
      <c r="M39" s="414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7"/>
    </row>
    <row r="40" spans="2:26" ht="23.1" customHeight="1">
      <c r="B40" s="105"/>
      <c r="C40" s="168" t="s">
        <v>492</v>
      </c>
      <c r="D40" s="251"/>
      <c r="E40" s="560"/>
      <c r="F40" s="559"/>
      <c r="G40" s="559"/>
      <c r="H40" s="559"/>
      <c r="I40" s="559"/>
      <c r="J40" s="569">
        <f>SUM(F40:I40)</f>
        <v>0</v>
      </c>
      <c r="K40" s="95"/>
      <c r="M40" s="414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7"/>
    </row>
    <row r="41" spans="2:26" ht="23.1" customHeight="1">
      <c r="B41" s="105"/>
      <c r="C41" s="168" t="s">
        <v>493</v>
      </c>
      <c r="D41" s="251"/>
      <c r="E41" s="560"/>
      <c r="F41" s="559"/>
      <c r="G41" s="559"/>
      <c r="H41" s="559"/>
      <c r="I41" s="559"/>
      <c r="J41" s="569">
        <f t="shared" ref="J41:J44" si="0">SUM(F41:I41)</f>
        <v>0</v>
      </c>
      <c r="K41" s="95"/>
      <c r="M41" s="414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7"/>
    </row>
    <row r="42" spans="2:26" ht="23.1" customHeight="1">
      <c r="B42" s="105"/>
      <c r="C42" s="168" t="s">
        <v>494</v>
      </c>
      <c r="D42" s="251"/>
      <c r="E42" s="560">
        <v>11</v>
      </c>
      <c r="F42" s="559">
        <v>500515.5</v>
      </c>
      <c r="G42" s="559"/>
      <c r="H42" s="559"/>
      <c r="I42" s="559"/>
      <c r="J42" s="569">
        <f t="shared" si="0"/>
        <v>500515.5</v>
      </c>
      <c r="K42" s="95"/>
      <c r="M42" s="414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7"/>
    </row>
    <row r="43" spans="2:26" ht="23.1" customHeight="1">
      <c r="B43" s="105"/>
      <c r="C43" s="168" t="s">
        <v>495</v>
      </c>
      <c r="D43" s="251"/>
      <c r="E43" s="560"/>
      <c r="F43" s="559"/>
      <c r="G43" s="559"/>
      <c r="H43" s="559"/>
      <c r="I43" s="559"/>
      <c r="J43" s="569">
        <f t="shared" si="0"/>
        <v>0</v>
      </c>
      <c r="K43" s="95"/>
      <c r="M43" s="414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7"/>
    </row>
    <row r="44" spans="2:26" ht="23.1" customHeight="1">
      <c r="B44" s="105"/>
      <c r="C44" s="146" t="s">
        <v>496</v>
      </c>
      <c r="D44" s="252"/>
      <c r="E44" s="563"/>
      <c r="F44" s="562"/>
      <c r="G44" s="562"/>
      <c r="H44" s="562"/>
      <c r="I44" s="562"/>
      <c r="J44" s="569">
        <f t="shared" si="0"/>
        <v>0</v>
      </c>
      <c r="K44" s="95"/>
      <c r="M44" s="414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7"/>
    </row>
    <row r="45" spans="2:26" ht="23.1" customHeight="1" thickBot="1">
      <c r="B45" s="105"/>
      <c r="C45" s="1243" t="s">
        <v>510</v>
      </c>
      <c r="D45" s="1244"/>
      <c r="E45" s="257">
        <f t="shared" ref="E45:J45" si="1">SUM(E39:E44)</f>
        <v>11</v>
      </c>
      <c r="F45" s="257">
        <f t="shared" si="1"/>
        <v>500515.5</v>
      </c>
      <c r="G45" s="257">
        <f t="shared" si="1"/>
        <v>0</v>
      </c>
      <c r="H45" s="257">
        <f t="shared" si="1"/>
        <v>0</v>
      </c>
      <c r="I45" s="257">
        <f t="shared" si="1"/>
        <v>0</v>
      </c>
      <c r="J45" s="257">
        <f t="shared" si="1"/>
        <v>500515.5</v>
      </c>
      <c r="K45" s="95"/>
      <c r="M45" s="414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7"/>
    </row>
    <row r="46" spans="2:26" ht="23.1" customHeight="1">
      <c r="B46" s="105"/>
      <c r="C46" s="29"/>
      <c r="D46" s="202"/>
      <c r="E46" s="202"/>
      <c r="F46" s="203"/>
      <c r="G46" s="203"/>
      <c r="H46" s="203"/>
      <c r="I46" s="203"/>
      <c r="J46" s="87"/>
      <c r="K46" s="95"/>
      <c r="M46" s="414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7"/>
    </row>
    <row r="47" spans="2:26" ht="23.1" customHeight="1">
      <c r="B47" s="105"/>
      <c r="C47" s="29"/>
      <c r="D47" s="202"/>
      <c r="E47" s="202"/>
      <c r="F47" s="203"/>
      <c r="G47" s="203"/>
      <c r="H47" s="203"/>
      <c r="I47" s="203"/>
      <c r="J47" s="87"/>
      <c r="K47" s="95"/>
      <c r="M47" s="414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7"/>
    </row>
    <row r="48" spans="2:26" ht="23.1" customHeight="1">
      <c r="B48" s="105"/>
      <c r="C48" s="55" t="s">
        <v>509</v>
      </c>
      <c r="D48" s="202"/>
      <c r="E48" s="202"/>
      <c r="F48" s="203"/>
      <c r="G48" s="203"/>
      <c r="H48" s="203"/>
      <c r="I48" s="203"/>
      <c r="J48" s="87"/>
      <c r="K48" s="95"/>
      <c r="M48" s="414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7"/>
    </row>
    <row r="49" spans="2:26" ht="23.1" customHeight="1">
      <c r="B49" s="105"/>
      <c r="C49" s="55"/>
      <c r="D49" s="202"/>
      <c r="E49" s="202"/>
      <c r="F49" s="203"/>
      <c r="G49" s="203"/>
      <c r="H49" s="203"/>
      <c r="I49" s="203"/>
      <c r="J49" s="87"/>
      <c r="K49" s="95"/>
      <c r="M49" s="414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7"/>
    </row>
    <row r="50" spans="2:26" ht="23.1" customHeight="1">
      <c r="B50" s="105"/>
      <c r="C50" s="1180" t="s">
        <v>448</v>
      </c>
      <c r="D50" s="1181"/>
      <c r="E50" s="1245"/>
      <c r="F50" s="254" t="s">
        <v>475</v>
      </c>
      <c r="G50" s="203"/>
      <c r="H50" s="203"/>
      <c r="I50" s="203"/>
      <c r="J50" s="87"/>
      <c r="K50" s="95"/>
      <c r="M50" s="414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7"/>
    </row>
    <row r="51" spans="2:26" s="175" customFormat="1" ht="23.1" customHeight="1">
      <c r="B51" s="173"/>
      <c r="C51" s="256" t="s">
        <v>511</v>
      </c>
      <c r="D51" s="255"/>
      <c r="E51" s="255"/>
      <c r="F51" s="570">
        <v>6556.33</v>
      </c>
      <c r="G51" s="203"/>
      <c r="H51" s="203"/>
      <c r="I51" s="203"/>
      <c r="J51" s="137"/>
      <c r="K51" s="174"/>
      <c r="M51" s="414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7"/>
    </row>
    <row r="52" spans="2:26" s="175" customFormat="1" ht="23.1" customHeight="1">
      <c r="B52" s="173"/>
      <c r="C52" s="256" t="s">
        <v>512</v>
      </c>
      <c r="D52" s="255"/>
      <c r="E52" s="255"/>
      <c r="F52" s="570">
        <v>140993.03</v>
      </c>
      <c r="G52" s="203"/>
      <c r="H52" s="203"/>
      <c r="I52" s="203"/>
      <c r="J52" s="137"/>
      <c r="K52" s="174"/>
      <c r="M52" s="414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7"/>
    </row>
    <row r="53" spans="2:26" ht="23.1" customHeight="1" thickBot="1">
      <c r="B53" s="105"/>
      <c r="C53" s="1243" t="s">
        <v>510</v>
      </c>
      <c r="D53" s="1246"/>
      <c r="E53" s="258"/>
      <c r="F53" s="257">
        <f>SUM(F51:F52)</f>
        <v>147549.35999999999</v>
      </c>
      <c r="G53" s="203"/>
      <c r="H53" s="203"/>
      <c r="I53" s="203"/>
      <c r="J53" s="137"/>
      <c r="K53" s="95"/>
      <c r="M53" s="414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7"/>
    </row>
    <row r="54" spans="2:26" ht="23.1" customHeight="1">
      <c r="B54" s="105"/>
      <c r="C54" s="29"/>
      <c r="D54" s="202"/>
      <c r="E54" s="202"/>
      <c r="F54" s="203"/>
      <c r="G54" s="203"/>
      <c r="H54" s="203"/>
      <c r="I54" s="203"/>
      <c r="J54" s="137"/>
      <c r="K54" s="95"/>
      <c r="M54" s="414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7"/>
    </row>
    <row r="55" spans="2:26" ht="23.1" customHeight="1">
      <c r="B55" s="105"/>
      <c r="C55" s="29"/>
      <c r="D55" s="202"/>
      <c r="E55" s="202"/>
      <c r="F55" s="203"/>
      <c r="G55" s="203"/>
      <c r="H55" s="203"/>
      <c r="I55" s="203"/>
      <c r="J55" s="137"/>
      <c r="K55" s="95"/>
      <c r="M55" s="414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7"/>
    </row>
    <row r="56" spans="2:26" ht="23.1" customHeight="1">
      <c r="B56" s="105"/>
      <c r="C56" s="55" t="s">
        <v>513</v>
      </c>
      <c r="D56" s="202"/>
      <c r="E56" s="202"/>
      <c r="F56" s="203"/>
      <c r="G56" s="203"/>
      <c r="H56" s="203"/>
      <c r="I56" s="203"/>
      <c r="J56" s="87"/>
      <c r="K56" s="95"/>
      <c r="M56" s="414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7"/>
    </row>
    <row r="57" spans="2:26" ht="23.1" customHeight="1">
      <c r="B57" s="105"/>
      <c r="C57" s="571"/>
      <c r="D57" s="572"/>
      <c r="E57" s="572"/>
      <c r="F57" s="572"/>
      <c r="G57" s="572"/>
      <c r="H57" s="572"/>
      <c r="I57" s="572"/>
      <c r="J57" s="573"/>
      <c r="K57" s="95"/>
      <c r="M57" s="414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7"/>
    </row>
    <row r="58" spans="2:26" ht="23.1" customHeight="1">
      <c r="B58" s="105"/>
      <c r="C58" s="574"/>
      <c r="D58" s="575"/>
      <c r="E58" s="575"/>
      <c r="F58" s="575"/>
      <c r="G58" s="575"/>
      <c r="H58" s="575"/>
      <c r="I58" s="575"/>
      <c r="J58" s="576"/>
      <c r="K58" s="95"/>
      <c r="M58" s="414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6"/>
      <c r="Y58" s="416"/>
      <c r="Z58" s="417"/>
    </row>
    <row r="59" spans="2:26" ht="23.1" customHeight="1">
      <c r="B59" s="105"/>
      <c r="C59" s="574"/>
      <c r="D59" s="575"/>
      <c r="E59" s="575"/>
      <c r="F59" s="575"/>
      <c r="G59" s="575"/>
      <c r="H59" s="575"/>
      <c r="I59" s="575"/>
      <c r="J59" s="576"/>
      <c r="K59" s="95"/>
      <c r="M59" s="414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7"/>
    </row>
    <row r="60" spans="2:26" ht="23.1" customHeight="1">
      <c r="B60" s="105"/>
      <c r="C60" s="577"/>
      <c r="D60" s="578"/>
      <c r="E60" s="578"/>
      <c r="F60" s="578"/>
      <c r="G60" s="578"/>
      <c r="H60" s="578"/>
      <c r="I60" s="578"/>
      <c r="J60" s="579"/>
      <c r="K60" s="95"/>
      <c r="M60" s="414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7"/>
    </row>
    <row r="61" spans="2:26" ht="23.1" customHeight="1">
      <c r="B61" s="105"/>
      <c r="C61" s="823"/>
      <c r="D61" s="823"/>
      <c r="E61" s="823"/>
      <c r="F61" s="823"/>
      <c r="G61" s="823"/>
      <c r="H61" s="823"/>
      <c r="I61" s="823"/>
      <c r="J61" s="823"/>
      <c r="K61" s="95"/>
      <c r="M61" s="414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6"/>
      <c r="Y61" s="416"/>
      <c r="Z61" s="417"/>
    </row>
    <row r="62" spans="2:26" ht="23.1" customHeight="1">
      <c r="B62" s="105"/>
      <c r="C62" s="824" t="s">
        <v>796</v>
      </c>
      <c r="D62" s="823"/>
      <c r="E62" s="823"/>
      <c r="F62" s="823"/>
      <c r="G62" s="823"/>
      <c r="H62" s="823"/>
      <c r="I62" s="823"/>
      <c r="J62" s="823"/>
      <c r="K62" s="95"/>
      <c r="M62" s="414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7"/>
    </row>
    <row r="63" spans="2:26" ht="23.1" customHeight="1">
      <c r="B63" s="105"/>
      <c r="C63" s="825" t="s">
        <v>820</v>
      </c>
      <c r="D63" s="823"/>
      <c r="E63" s="823"/>
      <c r="F63" s="823"/>
      <c r="G63" s="823"/>
      <c r="H63" s="823"/>
      <c r="I63" s="823"/>
      <c r="J63" s="823"/>
      <c r="K63" s="95"/>
      <c r="M63" s="414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7"/>
    </row>
    <row r="64" spans="2:26" ht="23.1" customHeight="1">
      <c r="B64" s="105"/>
      <c r="C64" s="823"/>
      <c r="D64" s="823"/>
      <c r="E64" s="823"/>
      <c r="F64" s="823"/>
      <c r="G64" s="823"/>
      <c r="H64" s="823"/>
      <c r="I64" s="823"/>
      <c r="J64" s="823"/>
      <c r="K64" s="95"/>
      <c r="M64" s="414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7"/>
    </row>
    <row r="65" spans="2:26" ht="23.1" customHeight="1" thickBot="1">
      <c r="B65" s="108"/>
      <c r="C65" s="48"/>
      <c r="D65" s="1116"/>
      <c r="E65" s="1116"/>
      <c r="F65" s="48"/>
      <c r="G65" s="48"/>
      <c r="H65" s="48"/>
      <c r="I65" s="48"/>
      <c r="J65" s="109"/>
      <c r="K65" s="110"/>
      <c r="M65" s="408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10"/>
    </row>
    <row r="66" spans="2:26" ht="23.1" customHeight="1">
      <c r="L66" s="88" t="s">
        <v>951</v>
      </c>
    </row>
    <row r="67" spans="2:26" ht="12.75">
      <c r="D67" s="111" t="s">
        <v>72</v>
      </c>
      <c r="J67" s="86" t="s">
        <v>61</v>
      </c>
    </row>
    <row r="68" spans="2:26" ht="12.75">
      <c r="D68" s="111" t="s">
        <v>73</v>
      </c>
    </row>
    <row r="69" spans="2:26" ht="12.75">
      <c r="D69" s="111" t="s">
        <v>74</v>
      </c>
    </row>
    <row r="70" spans="2:26" ht="12.75">
      <c r="D70" s="111" t="s">
        <v>75</v>
      </c>
    </row>
    <row r="71" spans="2:26" ht="12.75">
      <c r="D71" s="111" t="s">
        <v>76</v>
      </c>
    </row>
  </sheetData>
  <sheetProtection password="C354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X81"/>
  <sheetViews>
    <sheetView topLeftCell="A16" workbookViewId="0">
      <selection activeCell="E18" sqref="E18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66.33203125" style="88" customWidth="1"/>
    <col min="5" max="5" width="14.33203125" style="89" customWidth="1"/>
    <col min="6" max="6" width="2.6640625" style="89" customWidth="1"/>
    <col min="7" max="7" width="79.33203125" style="89" customWidth="1"/>
    <col min="8" max="8" width="14.33203125" style="89" customWidth="1"/>
    <col min="9" max="9" width="3.33203125" style="88" customWidth="1"/>
    <col min="10" max="16384" width="10.6640625" style="88"/>
  </cols>
  <sheetData>
    <row r="2" spans="1:24" ht="23.1" customHeight="1">
      <c r="D2" s="202" t="s">
        <v>374</v>
      </c>
    </row>
    <row r="3" spans="1:24" ht="23.1" customHeight="1">
      <c r="D3" s="202" t="s">
        <v>375</v>
      </c>
    </row>
    <row r="4" spans="1:24" ht="23.1" customHeight="1" thickBot="1">
      <c r="A4" s="88" t="s">
        <v>950</v>
      </c>
    </row>
    <row r="5" spans="1:24" ht="9" customHeight="1">
      <c r="B5" s="90"/>
      <c r="C5" s="91"/>
      <c r="D5" s="91"/>
      <c r="E5" s="92"/>
      <c r="F5" s="92"/>
      <c r="G5" s="92"/>
      <c r="H5" s="92"/>
      <c r="I5" s="93"/>
      <c r="K5" s="411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3"/>
    </row>
    <row r="6" spans="1:24" ht="30" customHeight="1">
      <c r="B6" s="94"/>
      <c r="C6" s="59" t="s">
        <v>0</v>
      </c>
      <c r="H6" s="1110">
        <f>ejercicio</f>
        <v>2019</v>
      </c>
      <c r="I6" s="95"/>
      <c r="K6" s="414"/>
      <c r="L6" s="415" t="s">
        <v>689</v>
      </c>
      <c r="M6" s="415"/>
      <c r="N6" s="415"/>
      <c r="O6" s="415"/>
      <c r="P6" s="416"/>
      <c r="Q6" s="416"/>
      <c r="R6" s="416"/>
      <c r="S6" s="416"/>
      <c r="T6" s="416"/>
      <c r="U6" s="416"/>
      <c r="V6" s="416"/>
      <c r="W6" s="416"/>
      <c r="X6" s="417"/>
    </row>
    <row r="7" spans="1:24" ht="30" customHeight="1">
      <c r="B7" s="94"/>
      <c r="C7" s="59" t="s">
        <v>1</v>
      </c>
      <c r="H7" s="1110"/>
      <c r="I7" s="95"/>
      <c r="K7" s="414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7"/>
    </row>
    <row r="8" spans="1:24" ht="30" customHeight="1">
      <c r="B8" s="94"/>
      <c r="C8" s="96"/>
      <c r="H8" s="97"/>
      <c r="I8" s="95"/>
      <c r="K8" s="414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7"/>
    </row>
    <row r="9" spans="1:24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74"/>
      <c r="K9" s="414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7"/>
    </row>
    <row r="10" spans="1:24" ht="7.35" customHeight="1">
      <c r="B10" s="94"/>
      <c r="I10" s="95"/>
      <c r="K10" s="414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7"/>
    </row>
    <row r="11" spans="1:24" s="104" customFormat="1" ht="30" customHeight="1">
      <c r="B11" s="100"/>
      <c r="C11" s="101" t="s">
        <v>517</v>
      </c>
      <c r="D11" s="101"/>
      <c r="E11" s="102"/>
      <c r="F11" s="102"/>
      <c r="G11" s="102"/>
      <c r="H11" s="102"/>
      <c r="I11" s="103"/>
      <c r="K11" s="414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7"/>
    </row>
    <row r="12" spans="1:24" s="104" customFormat="1" ht="30" customHeight="1">
      <c r="B12" s="100"/>
      <c r="C12" s="1128"/>
      <c r="D12" s="1128"/>
      <c r="E12" s="87"/>
      <c r="F12" s="87"/>
      <c r="G12" s="87"/>
      <c r="H12" s="87"/>
      <c r="I12" s="103"/>
      <c r="K12" s="414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7"/>
    </row>
    <row r="13" spans="1:24" ht="29.1" customHeight="1">
      <c r="B13" s="105"/>
      <c r="C13" s="1247" t="s">
        <v>518</v>
      </c>
      <c r="D13" s="1248"/>
      <c r="E13" s="1248"/>
      <c r="F13" s="1248"/>
      <c r="G13" s="1248"/>
      <c r="H13" s="1249"/>
      <c r="I13" s="95"/>
      <c r="K13" s="414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7"/>
    </row>
    <row r="14" spans="1:24" ht="9" customHeight="1">
      <c r="B14" s="105"/>
      <c r="C14" s="141"/>
      <c r="D14" s="141"/>
      <c r="E14" s="87"/>
      <c r="F14" s="87"/>
      <c r="G14" s="87"/>
      <c r="H14" s="87"/>
      <c r="I14" s="95"/>
      <c r="K14" s="414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7"/>
    </row>
    <row r="15" spans="1:24" s="202" customFormat="1" ht="23.1" customHeight="1">
      <c r="B15" s="236"/>
      <c r="C15" s="1180" t="s">
        <v>521</v>
      </c>
      <c r="D15" s="1181"/>
      <c r="E15" s="1182"/>
      <c r="F15" s="137"/>
      <c r="G15" s="1180" t="s">
        <v>522</v>
      </c>
      <c r="H15" s="1182"/>
      <c r="I15" s="238"/>
      <c r="K15" s="414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7"/>
    </row>
    <row r="16" spans="1:24" s="202" customFormat="1" ht="24" customHeight="1">
      <c r="B16" s="236"/>
      <c r="C16" s="1180" t="s">
        <v>439</v>
      </c>
      <c r="D16" s="1182"/>
      <c r="E16" s="254" t="s">
        <v>475</v>
      </c>
      <c r="F16" s="137"/>
      <c r="G16" s="254" t="s">
        <v>439</v>
      </c>
      <c r="H16" s="239" t="s">
        <v>475</v>
      </c>
      <c r="I16" s="238"/>
      <c r="K16" s="414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7"/>
    </row>
    <row r="17" spans="2:24" s="29" customFormat="1" ht="23.1" customHeight="1">
      <c r="B17" s="105"/>
      <c r="C17" s="268" t="s">
        <v>523</v>
      </c>
      <c r="D17" s="269"/>
      <c r="E17" s="513"/>
      <c r="F17" s="271"/>
      <c r="G17" s="270" t="str">
        <f>C17</f>
        <v>CABILDO INSULAR DE TENERIFE</v>
      </c>
      <c r="H17" s="513"/>
      <c r="I17" s="106"/>
      <c r="K17" s="414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7"/>
    </row>
    <row r="18" spans="2:24" s="29" customFormat="1" ht="23.1" customHeight="1">
      <c r="B18" s="105"/>
      <c r="C18" s="272" t="s">
        <v>524</v>
      </c>
      <c r="D18" s="273"/>
      <c r="E18" s="513"/>
      <c r="F18" s="271"/>
      <c r="G18" s="270" t="str">
        <f t="shared" ref="G18:G55" si="0">C18</f>
        <v>O.A. DE MUSEOS Y CENTROS</v>
      </c>
      <c r="H18" s="513"/>
      <c r="I18" s="106"/>
      <c r="K18" s="414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7"/>
    </row>
    <row r="19" spans="2:24" s="29" customFormat="1" ht="23.1" customHeight="1">
      <c r="B19" s="105"/>
      <c r="C19" s="272" t="s">
        <v>525</v>
      </c>
      <c r="D19" s="273"/>
      <c r="E19" s="513"/>
      <c r="F19" s="271"/>
      <c r="G19" s="270" t="str">
        <f t="shared" si="0"/>
        <v>O.A. INST. INS. ATENCIÓN SOC. Y SOCIOSAN.</v>
      </c>
      <c r="H19" s="513"/>
      <c r="I19" s="106"/>
      <c r="K19" s="414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7"/>
    </row>
    <row r="20" spans="2:24" s="29" customFormat="1" ht="23.1" customHeight="1">
      <c r="B20" s="105"/>
      <c r="C20" s="272" t="s">
        <v>526</v>
      </c>
      <c r="D20" s="273"/>
      <c r="E20" s="513"/>
      <c r="F20" s="271"/>
      <c r="G20" s="270" t="str">
        <f t="shared" si="0"/>
        <v>O.A. PATRONATO INSULAR DE MUSICA</v>
      </c>
      <c r="H20" s="513"/>
      <c r="I20" s="106"/>
      <c r="K20" s="414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7"/>
    </row>
    <row r="21" spans="2:24" s="29" customFormat="1" ht="23.1" customHeight="1">
      <c r="B21" s="105"/>
      <c r="C21" s="272" t="s">
        <v>527</v>
      </c>
      <c r="D21" s="273"/>
      <c r="E21" s="513"/>
      <c r="F21" s="271"/>
      <c r="G21" s="270" t="str">
        <f t="shared" si="0"/>
        <v>O.A. CONSEJO INSULAR DE AGUAS</v>
      </c>
      <c r="H21" s="513"/>
      <c r="I21" s="106"/>
      <c r="K21" s="414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7"/>
    </row>
    <row r="22" spans="2:24" s="29" customFormat="1" ht="23.1" customHeight="1">
      <c r="B22" s="105"/>
      <c r="C22" s="272" t="s">
        <v>528</v>
      </c>
      <c r="D22" s="273"/>
      <c r="E22" s="513"/>
      <c r="F22" s="271"/>
      <c r="G22" s="270" t="str">
        <f t="shared" si="0"/>
        <v>EPEL. BALSAS DE TENERIFE</v>
      </c>
      <c r="H22" s="513"/>
      <c r="I22" s="106"/>
      <c r="K22" s="414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7"/>
    </row>
    <row r="23" spans="2:24" s="29" customFormat="1" ht="23.1" customHeight="1">
      <c r="B23" s="105"/>
      <c r="C23" s="272" t="s">
        <v>790</v>
      </c>
      <c r="D23" s="273"/>
      <c r="E23" s="513"/>
      <c r="F23" s="271"/>
      <c r="G23" s="270" t="str">
        <f t="shared" si="0"/>
        <v>EPEL TEA, TENERFE ESPACIO DE LAS ARTES</v>
      </c>
      <c r="H23" s="513"/>
      <c r="I23" s="106"/>
      <c r="K23" s="414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7"/>
    </row>
    <row r="24" spans="2:24" s="29" customFormat="1" ht="23.1" customHeight="1">
      <c r="B24" s="105"/>
      <c r="C24" s="272" t="s">
        <v>529</v>
      </c>
      <c r="D24" s="273"/>
      <c r="E24" s="513"/>
      <c r="F24" s="271"/>
      <c r="G24" s="270" t="str">
        <f t="shared" si="0"/>
        <v>EPEL AGROTEIDE ENTIDAD INSULAR DESARROLLO AGRICOLA Y GANADERO</v>
      </c>
      <c r="H24" s="513"/>
      <c r="I24" s="106"/>
      <c r="K24" s="414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7"/>
    </row>
    <row r="25" spans="2:24" s="29" customFormat="1" ht="23.1" customHeight="1">
      <c r="B25" s="105"/>
      <c r="C25" s="272" t="s">
        <v>530</v>
      </c>
      <c r="D25" s="273"/>
      <c r="E25" s="513"/>
      <c r="F25" s="271"/>
      <c r="G25" s="270" t="str">
        <f t="shared" si="0"/>
        <v>CASINO DE TAORO, SA</v>
      </c>
      <c r="H25" s="513"/>
      <c r="I25" s="106"/>
      <c r="K25" s="414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7"/>
    </row>
    <row r="26" spans="2:24" s="29" customFormat="1" ht="23.1" customHeight="1">
      <c r="B26" s="105"/>
      <c r="C26" s="272" t="s">
        <v>531</v>
      </c>
      <c r="D26" s="273"/>
      <c r="E26" s="513"/>
      <c r="F26" s="271"/>
      <c r="G26" s="270" t="str">
        <f t="shared" si="0"/>
        <v>CASINO DE PLAYA DE LAS AMÉRICAS, SA</v>
      </c>
      <c r="H26" s="513"/>
      <c r="I26" s="106"/>
      <c r="K26" s="414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7"/>
    </row>
    <row r="27" spans="2:24" s="29" customFormat="1" ht="23.1" customHeight="1">
      <c r="B27" s="105"/>
      <c r="C27" s="272" t="s">
        <v>532</v>
      </c>
      <c r="D27" s="273"/>
      <c r="E27" s="513"/>
      <c r="F27" s="271"/>
      <c r="G27" s="270" t="str">
        <f t="shared" si="0"/>
        <v>CASINO DE SANTA CRUZ, SA</v>
      </c>
      <c r="H27" s="513"/>
      <c r="I27" s="106"/>
      <c r="K27" s="414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7"/>
    </row>
    <row r="28" spans="2:24" s="29" customFormat="1" ht="23.1" customHeight="1">
      <c r="B28" s="105"/>
      <c r="C28" s="272" t="s">
        <v>533</v>
      </c>
      <c r="D28" s="273"/>
      <c r="E28" s="513"/>
      <c r="F28" s="271"/>
      <c r="G28" s="270" t="str">
        <f t="shared" si="0"/>
        <v>INSTIT.FERIAL DE TENERIFE, SA</v>
      </c>
      <c r="H28" s="513"/>
      <c r="I28" s="106"/>
      <c r="K28" s="414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7"/>
    </row>
    <row r="29" spans="2:24" s="29" customFormat="1" ht="23.1" customHeight="1">
      <c r="B29" s="105"/>
      <c r="C29" s="272" t="s">
        <v>534</v>
      </c>
      <c r="D29" s="273"/>
      <c r="E29" s="513"/>
      <c r="F29" s="271"/>
      <c r="G29" s="270" t="str">
        <f t="shared" si="0"/>
        <v>EMPRESA INSULAR DE ARTESANÍA, SA</v>
      </c>
      <c r="H29" s="513"/>
      <c r="I29" s="106"/>
      <c r="K29" s="414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7"/>
    </row>
    <row r="30" spans="2:24" s="29" customFormat="1" ht="23.1" customHeight="1">
      <c r="B30" s="105"/>
      <c r="C30" s="272" t="s">
        <v>535</v>
      </c>
      <c r="D30" s="273"/>
      <c r="E30" s="513"/>
      <c r="F30" s="271"/>
      <c r="G30" s="270" t="str">
        <f t="shared" si="0"/>
        <v>SINPROMI.S.L.</v>
      </c>
      <c r="H30" s="513"/>
      <c r="I30" s="106"/>
      <c r="K30" s="414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7"/>
    </row>
    <row r="31" spans="2:24" s="29" customFormat="1" ht="23.1" customHeight="1">
      <c r="B31" s="105"/>
      <c r="C31" s="272" t="s">
        <v>536</v>
      </c>
      <c r="D31" s="273"/>
      <c r="E31" s="513"/>
      <c r="F31" s="271"/>
      <c r="G31" s="270" t="str">
        <f t="shared" si="0"/>
        <v>AUDITORIO DE TENERIFE, SA</v>
      </c>
      <c r="H31" s="513"/>
      <c r="I31" s="106"/>
      <c r="K31" s="414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7"/>
    </row>
    <row r="32" spans="2:24" s="29" customFormat="1" ht="23.1" customHeight="1">
      <c r="B32" s="105"/>
      <c r="C32" s="272" t="s">
        <v>537</v>
      </c>
      <c r="D32" s="273"/>
      <c r="E32" s="513"/>
      <c r="F32" s="271"/>
      <c r="G32" s="270" t="str">
        <f t="shared" si="0"/>
        <v>GEST. INS. DEPORTE, CULT.Y OCIO, SA (IDECO)</v>
      </c>
      <c r="H32" s="513"/>
      <c r="I32" s="106"/>
      <c r="K32" s="414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7"/>
    </row>
    <row r="33" spans="2:24" s="29" customFormat="1" ht="23.1" customHeight="1">
      <c r="B33" s="105"/>
      <c r="C33" s="272" t="s">
        <v>538</v>
      </c>
      <c r="D33" s="273"/>
      <c r="E33" s="513"/>
      <c r="F33" s="271"/>
      <c r="G33" s="270" t="str">
        <f t="shared" si="0"/>
        <v>TITSA</v>
      </c>
      <c r="H33" s="513"/>
      <c r="I33" s="106"/>
      <c r="K33" s="414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7"/>
    </row>
    <row r="34" spans="2:24" s="29" customFormat="1" ht="23.1" customHeight="1">
      <c r="B34" s="105"/>
      <c r="C34" s="272" t="s">
        <v>539</v>
      </c>
      <c r="D34" s="273"/>
      <c r="E34" s="513"/>
      <c r="F34" s="271"/>
      <c r="G34" s="270" t="str">
        <f t="shared" si="0"/>
        <v>SPET, TURISMO DE TENERIFE, S.A.</v>
      </c>
      <c r="H34" s="513"/>
      <c r="I34" s="106"/>
      <c r="K34" s="414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7"/>
    </row>
    <row r="35" spans="2:24" s="29" customFormat="1" ht="23.1" customHeight="1">
      <c r="B35" s="105"/>
      <c r="C35" s="272" t="s">
        <v>540</v>
      </c>
      <c r="D35" s="273"/>
      <c r="E35" s="513"/>
      <c r="F35" s="271"/>
      <c r="G35" s="270" t="str">
        <f t="shared" si="0"/>
        <v>INSTITUTO MEDICO TINERFEÑO, S.A. (IMETISA)</v>
      </c>
      <c r="H35" s="513"/>
      <c r="I35" s="106"/>
      <c r="K35" s="414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7"/>
    </row>
    <row r="36" spans="2:24" s="29" customFormat="1" ht="23.1" customHeight="1">
      <c r="B36" s="105"/>
      <c r="C36" s="272" t="s">
        <v>541</v>
      </c>
      <c r="D36" s="273"/>
      <c r="E36" s="513"/>
      <c r="F36" s="271"/>
      <c r="G36" s="270" t="str">
        <f t="shared" si="0"/>
        <v>METROPOLITANO DE TENERIFE, S.A.</v>
      </c>
      <c r="H36" s="513"/>
      <c r="I36" s="106"/>
      <c r="K36" s="414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4" s="29" customFormat="1" ht="23.1" customHeight="1">
      <c r="B37" s="105"/>
      <c r="C37" s="272" t="s">
        <v>542</v>
      </c>
      <c r="D37" s="273"/>
      <c r="E37" s="513"/>
      <c r="F37" s="271"/>
      <c r="G37" s="270" t="str">
        <f t="shared" si="0"/>
        <v>INST. TECNOL. Y DE ENERGIAS RENOVABLES, S.A. (ITER)</v>
      </c>
      <c r="H37" s="513"/>
      <c r="I37" s="106"/>
      <c r="K37" s="414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4" s="29" customFormat="1" ht="23.1" customHeight="1">
      <c r="B38" s="105"/>
      <c r="C38" s="272" t="s">
        <v>543</v>
      </c>
      <c r="D38" s="273"/>
      <c r="E38" s="513"/>
      <c r="F38" s="271"/>
      <c r="G38" s="270" t="str">
        <f t="shared" si="0"/>
        <v>CULTIVOS Y TECNOLOGÍAS AGRARIAS DE TENERIFE, S.A (CULTESA)</v>
      </c>
      <c r="H38" s="513"/>
      <c r="I38" s="106"/>
      <c r="K38" s="414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4" s="29" customFormat="1" ht="23.1" customHeight="1">
      <c r="B39" s="105"/>
      <c r="C39" s="272" t="s">
        <v>544</v>
      </c>
      <c r="D39" s="273"/>
      <c r="E39" s="513"/>
      <c r="F39" s="271"/>
      <c r="G39" s="270" t="str">
        <f t="shared" si="0"/>
        <v>BUENAVISTA GOLF, S.A.</v>
      </c>
      <c r="H39" s="513"/>
      <c r="I39" s="106"/>
      <c r="K39" s="414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4" s="29" customFormat="1" ht="23.1" customHeight="1">
      <c r="B40" s="105"/>
      <c r="C40" s="272" t="s">
        <v>545</v>
      </c>
      <c r="D40" s="273"/>
      <c r="E40" s="513"/>
      <c r="F40" s="271"/>
      <c r="G40" s="270" t="str">
        <f t="shared" si="0"/>
        <v>PARQUE CIENTÍFICO Y TECNOLÓGICO DE TENERIFE, S.A.</v>
      </c>
      <c r="H40" s="513"/>
      <c r="I40" s="106"/>
      <c r="K40" s="414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7"/>
    </row>
    <row r="41" spans="2:24" s="29" customFormat="1" ht="23.1" customHeight="1">
      <c r="B41" s="105"/>
      <c r="C41" s="272" t="s">
        <v>546</v>
      </c>
      <c r="D41" s="273"/>
      <c r="E41" s="513"/>
      <c r="F41" s="271"/>
      <c r="G41" s="270" t="str">
        <f t="shared" si="0"/>
        <v>INSTITUTO TECNOLÓGICO Y DE COMUNICACIONES DE TENERIFE, S.L. (IT3)</v>
      </c>
      <c r="H41" s="513"/>
      <c r="I41" s="106"/>
      <c r="K41" s="414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7"/>
    </row>
    <row r="42" spans="2:24" s="29" customFormat="1" ht="23.1" customHeight="1">
      <c r="B42" s="105"/>
      <c r="C42" s="272" t="s">
        <v>547</v>
      </c>
      <c r="D42" s="273"/>
      <c r="E42" s="513"/>
      <c r="F42" s="271"/>
      <c r="G42" s="270" t="str">
        <f t="shared" si="0"/>
        <v>INSTITUTO VULCANOLÓGICO DE CANARIAS S.A.</v>
      </c>
      <c r="H42" s="513"/>
      <c r="I42" s="106"/>
      <c r="K42" s="414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7"/>
    </row>
    <row r="43" spans="2:24" s="29" customFormat="1" ht="23.1" customHeight="1">
      <c r="B43" s="105"/>
      <c r="C43" s="272" t="s">
        <v>548</v>
      </c>
      <c r="D43" s="273"/>
      <c r="E43" s="513"/>
      <c r="F43" s="271"/>
      <c r="G43" s="270" t="str">
        <f t="shared" si="0"/>
        <v>CANARIAS SUBMARINE LINK, S.L. (Canalink)</v>
      </c>
      <c r="H43" s="513"/>
      <c r="I43" s="106"/>
      <c r="K43" s="414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7"/>
    </row>
    <row r="44" spans="2:24" s="29" customFormat="1" ht="23.1" customHeight="1">
      <c r="B44" s="105"/>
      <c r="C44" s="272" t="s">
        <v>549</v>
      </c>
      <c r="D44" s="273"/>
      <c r="E44" s="513"/>
      <c r="F44" s="271"/>
      <c r="G44" s="270" t="str">
        <f t="shared" si="0"/>
        <v>CANALINK AFRICA, S.L.</v>
      </c>
      <c r="H44" s="513"/>
      <c r="I44" s="106"/>
      <c r="K44" s="414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7"/>
    </row>
    <row r="45" spans="2:24" s="29" customFormat="1" ht="23.1" customHeight="1">
      <c r="B45" s="105"/>
      <c r="C45" s="272" t="s">
        <v>550</v>
      </c>
      <c r="D45" s="273"/>
      <c r="E45" s="513"/>
      <c r="F45" s="271"/>
      <c r="G45" s="270" t="str">
        <f t="shared" si="0"/>
        <v>CANALINK BAHARICOM, S.L.</v>
      </c>
      <c r="H45" s="513"/>
      <c r="I45" s="106"/>
      <c r="K45" s="414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7"/>
    </row>
    <row r="46" spans="2:24" s="29" customFormat="1" ht="23.1" customHeight="1">
      <c r="B46" s="105"/>
      <c r="C46" s="272" t="s">
        <v>551</v>
      </c>
      <c r="D46" s="273"/>
      <c r="E46" s="513"/>
      <c r="F46" s="271"/>
      <c r="G46" s="270" t="str">
        <f t="shared" si="0"/>
        <v>GESTIÓN INSULAR DE AGUAS DE TENERIFE, S.A. (GESTA)</v>
      </c>
      <c r="H46" s="513"/>
      <c r="I46" s="106"/>
      <c r="K46" s="414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7"/>
    </row>
    <row r="47" spans="2:24" s="29" customFormat="1" ht="23.1" customHeight="1">
      <c r="B47" s="105"/>
      <c r="C47" s="272" t="s">
        <v>552</v>
      </c>
      <c r="D47" s="273"/>
      <c r="E47" s="513"/>
      <c r="F47" s="271"/>
      <c r="G47" s="270" t="str">
        <f t="shared" si="0"/>
        <v>FUNDACION TENERIFE RURAL</v>
      </c>
      <c r="H47" s="513"/>
      <c r="I47" s="106"/>
      <c r="K47" s="414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7"/>
    </row>
    <row r="48" spans="2:24" s="29" customFormat="1" ht="23.1" customHeight="1">
      <c r="B48" s="105"/>
      <c r="C48" s="272" t="s">
        <v>553</v>
      </c>
      <c r="D48" s="273"/>
      <c r="E48" s="513"/>
      <c r="F48" s="271"/>
      <c r="G48" s="270" t="str">
        <f t="shared" si="0"/>
        <v>FUNDACIÓN  ITB</v>
      </c>
      <c r="H48" s="513"/>
      <c r="I48" s="106"/>
      <c r="K48" s="414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7"/>
    </row>
    <row r="49" spans="2:24" s="29" customFormat="1" ht="23.1" customHeight="1">
      <c r="B49" s="105"/>
      <c r="C49" s="272" t="s">
        <v>554</v>
      </c>
      <c r="D49" s="273"/>
      <c r="E49" s="513"/>
      <c r="F49" s="271"/>
      <c r="G49" s="270" t="str">
        <f t="shared" si="0"/>
        <v>FIFEDE</v>
      </c>
      <c r="H49" s="513"/>
      <c r="I49" s="106"/>
      <c r="K49" s="414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7"/>
    </row>
    <row r="50" spans="2:24" s="29" customFormat="1" ht="23.1" customHeight="1">
      <c r="B50" s="105"/>
      <c r="C50" s="272" t="s">
        <v>555</v>
      </c>
      <c r="D50" s="273"/>
      <c r="E50" s="513"/>
      <c r="F50" s="271"/>
      <c r="G50" s="270" t="str">
        <f t="shared" si="0"/>
        <v>AGENCIA INSULAR DE LA ENERGIA</v>
      </c>
      <c r="H50" s="513"/>
      <c r="I50" s="106"/>
      <c r="K50" s="414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7"/>
    </row>
    <row r="51" spans="2:24" s="29" customFormat="1" ht="23.1" customHeight="1">
      <c r="B51" s="105"/>
      <c r="C51" s="272" t="s">
        <v>556</v>
      </c>
      <c r="D51" s="273"/>
      <c r="E51" s="513"/>
      <c r="F51" s="271"/>
      <c r="G51" s="270" t="str">
        <f t="shared" si="0"/>
        <v>FUNDACIÓN CANARIAS FACTORÍA DE LA INNOVACIÓN TURÍSTICA</v>
      </c>
      <c r="H51" s="513"/>
      <c r="I51" s="106"/>
      <c r="K51" s="414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7"/>
    </row>
    <row r="52" spans="2:24" s="29" customFormat="1" ht="23.1" customHeight="1">
      <c r="B52" s="105"/>
      <c r="C52" s="272" t="s">
        <v>557</v>
      </c>
      <c r="D52" s="273"/>
      <c r="E52" s="513"/>
      <c r="F52" s="271"/>
      <c r="G52" s="270" t="str">
        <f t="shared" si="0"/>
        <v>CONSORCIO PREVENSIÓN, EXTINCIÓN INCENDIOS Y SALVAMENTO DE LA ISLA DE TENERIFE</v>
      </c>
      <c r="H52" s="513"/>
      <c r="I52" s="106"/>
      <c r="K52" s="414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7"/>
    </row>
    <row r="53" spans="2:24" s="29" customFormat="1" ht="23.1" customHeight="1">
      <c r="B53" s="105"/>
      <c r="C53" s="272" t="s">
        <v>558</v>
      </c>
      <c r="D53" s="273"/>
      <c r="E53" s="513"/>
      <c r="F53" s="271"/>
      <c r="G53" s="270" t="str">
        <f t="shared" si="0"/>
        <v>CONSORCIO DE TRIBUTOS DE LA ISLA DE TENERIFE</v>
      </c>
      <c r="H53" s="513"/>
      <c r="I53" s="106"/>
      <c r="K53" s="414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7"/>
    </row>
    <row r="54" spans="2:24" s="29" customFormat="1" ht="23.1" customHeight="1">
      <c r="B54" s="105"/>
      <c r="C54" s="272" t="s">
        <v>559</v>
      </c>
      <c r="D54" s="273"/>
      <c r="E54" s="513"/>
      <c r="F54" s="271"/>
      <c r="G54" s="270" t="str">
        <f t="shared" si="0"/>
        <v>CONSORCIO ISLA BAJA</v>
      </c>
      <c r="H54" s="513"/>
      <c r="I54" s="106"/>
      <c r="K54" s="414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7"/>
    </row>
    <row r="55" spans="2:24" s="29" customFormat="1" ht="23.1" customHeight="1">
      <c r="B55" s="105"/>
      <c r="C55" s="274" t="s">
        <v>560</v>
      </c>
      <c r="D55" s="275"/>
      <c r="E55" s="514"/>
      <c r="F55" s="271"/>
      <c r="G55" s="270" t="str">
        <f t="shared" si="0"/>
        <v>CONSORCIO URBANÍSTICO PARA LA REHABILITACIÓN DEL PTO. DE LA CRUZ</v>
      </c>
      <c r="H55" s="514"/>
      <c r="I55" s="106"/>
      <c r="K55" s="414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7"/>
    </row>
    <row r="56" spans="2:24" s="175" customFormat="1" ht="23.1" customHeight="1" thickBot="1">
      <c r="B56" s="173"/>
      <c r="C56" s="1230" t="s">
        <v>476</v>
      </c>
      <c r="D56" s="1232"/>
      <c r="E56" s="161">
        <f>SUM(E17:E55)</f>
        <v>0</v>
      </c>
      <c r="F56" s="137"/>
      <c r="G56" s="206" t="s">
        <v>476</v>
      </c>
      <c r="H56" s="161">
        <f>SUM(H17:H55)</f>
        <v>0</v>
      </c>
      <c r="I56" s="174"/>
      <c r="K56" s="414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7"/>
    </row>
    <row r="57" spans="2:24" ht="23.1" customHeight="1">
      <c r="B57" s="105"/>
      <c r="C57" s="202"/>
      <c r="D57" s="202"/>
      <c r="E57" s="203"/>
      <c r="F57" s="87"/>
      <c r="G57" s="203"/>
      <c r="H57" s="87"/>
      <c r="I57" s="95"/>
      <c r="K57" s="414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7"/>
    </row>
    <row r="58" spans="2:24" ht="23.1" customHeight="1">
      <c r="B58" s="105"/>
      <c r="C58" s="1247" t="s">
        <v>791</v>
      </c>
      <c r="D58" s="1248"/>
      <c r="E58" s="1248"/>
      <c r="F58" s="1248"/>
      <c r="G58" s="1248"/>
      <c r="H58" s="1249"/>
      <c r="I58" s="95"/>
      <c r="K58" s="414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6"/>
      <c r="X58" s="417"/>
    </row>
    <row r="59" spans="2:24" ht="9" customHeight="1">
      <c r="B59" s="105"/>
      <c r="C59" s="29"/>
      <c r="D59" s="29"/>
      <c r="E59" s="29"/>
      <c r="F59" s="29"/>
      <c r="G59" s="29"/>
      <c r="H59" s="29"/>
      <c r="I59" s="95"/>
      <c r="K59" s="414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7"/>
    </row>
    <row r="60" spans="2:24" ht="23.1" customHeight="1">
      <c r="B60" s="105"/>
      <c r="C60" s="1247" t="s">
        <v>518</v>
      </c>
      <c r="D60" s="1248"/>
      <c r="E60" s="1248"/>
      <c r="F60" s="1248"/>
      <c r="G60" s="1248"/>
      <c r="H60" s="1249"/>
      <c r="I60" s="95"/>
      <c r="K60" s="414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7"/>
    </row>
    <row r="61" spans="2:24" ht="9" customHeight="1">
      <c r="B61" s="105"/>
      <c r="C61" s="29"/>
      <c r="D61" s="29"/>
      <c r="E61" s="29"/>
      <c r="F61" s="29"/>
      <c r="G61" s="29"/>
      <c r="H61" s="29"/>
      <c r="I61" s="95"/>
      <c r="K61" s="414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7"/>
    </row>
    <row r="62" spans="2:24" ht="23.1" customHeight="1">
      <c r="B62" s="105"/>
      <c r="C62" s="1180" t="s">
        <v>521</v>
      </c>
      <c r="D62" s="1181"/>
      <c r="E62" s="1182"/>
      <c r="F62" s="137"/>
      <c r="G62" s="1180" t="s">
        <v>522</v>
      </c>
      <c r="H62" s="1182"/>
      <c r="I62" s="95"/>
      <c r="K62" s="414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7"/>
    </row>
    <row r="63" spans="2:24" ht="23.1" customHeight="1">
      <c r="B63" s="105"/>
      <c r="C63" s="1180" t="s">
        <v>439</v>
      </c>
      <c r="D63" s="1182"/>
      <c r="E63" s="254" t="s">
        <v>475</v>
      </c>
      <c r="F63" s="137"/>
      <c r="G63" s="254" t="s">
        <v>439</v>
      </c>
      <c r="H63" s="239" t="s">
        <v>475</v>
      </c>
      <c r="I63" s="95"/>
      <c r="K63" s="414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7"/>
    </row>
    <row r="64" spans="2:24" ht="23.1" customHeight="1">
      <c r="B64" s="105"/>
      <c r="C64" s="268" t="s">
        <v>561</v>
      </c>
      <c r="D64" s="269"/>
      <c r="E64" s="513"/>
      <c r="F64" s="271"/>
      <c r="G64" s="270" t="str">
        <f>C64</f>
        <v>A.M.C. POLÍGONO INDUSTRIAL DE GÜIMAR</v>
      </c>
      <c r="H64" s="513"/>
      <c r="I64" s="95"/>
      <c r="K64" s="414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7"/>
    </row>
    <row r="65" spans="2:24" ht="23.1" customHeight="1">
      <c r="B65" s="105"/>
      <c r="C65" s="272" t="s">
        <v>562</v>
      </c>
      <c r="D65" s="273"/>
      <c r="E65" s="513"/>
      <c r="F65" s="271"/>
      <c r="G65" s="270" t="str">
        <f t="shared" ref="G65:G68" si="1">C65</f>
        <v>MERCATENERIFE, S.A.</v>
      </c>
      <c r="H65" s="513"/>
      <c r="I65" s="95"/>
      <c r="K65" s="414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7"/>
    </row>
    <row r="66" spans="2:24" ht="23.1" customHeight="1">
      <c r="B66" s="105"/>
      <c r="C66" s="272" t="s">
        <v>563</v>
      </c>
      <c r="D66" s="273"/>
      <c r="E66" s="513"/>
      <c r="F66" s="271"/>
      <c r="G66" s="270" t="str">
        <f t="shared" si="1"/>
        <v>POLÍGONO INDUSTRIAL DE GRANADILLA-PARQUE TECNOLÓGICO DE TENERIFE, S.A.</v>
      </c>
      <c r="H66" s="513"/>
      <c r="I66" s="95"/>
      <c r="K66" s="414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7"/>
    </row>
    <row r="67" spans="2:24" ht="23.1" customHeight="1">
      <c r="B67" s="105"/>
      <c r="C67" s="272" t="s">
        <v>564</v>
      </c>
      <c r="D67" s="273"/>
      <c r="E67" s="513"/>
      <c r="F67" s="271"/>
      <c r="G67" s="270" t="str">
        <f t="shared" si="1"/>
        <v>PARQUES EÓLICOS DE GRANADILLA, A.I.E.</v>
      </c>
      <c r="H67" s="513"/>
      <c r="I67" s="95"/>
      <c r="K67" s="414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7"/>
    </row>
    <row r="68" spans="2:24" ht="23.1" customHeight="1">
      <c r="B68" s="105"/>
      <c r="C68" s="272" t="s">
        <v>565</v>
      </c>
      <c r="D68" s="273"/>
      <c r="E68" s="513"/>
      <c r="F68" s="271"/>
      <c r="G68" s="270" t="str">
        <f t="shared" si="1"/>
        <v>EÓLICAS DE TENERIFE, A.I.E.</v>
      </c>
      <c r="H68" s="513"/>
      <c r="I68" s="95"/>
      <c r="K68" s="414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7"/>
    </row>
    <row r="69" spans="2:24" s="175" customFormat="1" ht="23.1" customHeight="1" thickBot="1">
      <c r="B69" s="173"/>
      <c r="C69" s="1230" t="s">
        <v>476</v>
      </c>
      <c r="D69" s="1232"/>
      <c r="E69" s="161">
        <f>SUM(E64:E68)</f>
        <v>0</v>
      </c>
      <c r="F69" s="137"/>
      <c r="G69" s="206" t="s">
        <v>476</v>
      </c>
      <c r="H69" s="161">
        <f>SUM(H64:H68)</f>
        <v>0</v>
      </c>
      <c r="I69" s="174"/>
      <c r="K69" s="414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7"/>
    </row>
    <row r="70" spans="2:24" ht="23.1" customHeight="1">
      <c r="B70" s="105"/>
      <c r="C70" s="202"/>
      <c r="D70" s="202"/>
      <c r="E70" s="203"/>
      <c r="F70" s="87"/>
      <c r="G70" s="203"/>
      <c r="H70" s="87"/>
      <c r="I70" s="95"/>
      <c r="K70" s="414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6"/>
      <c r="X70" s="417"/>
    </row>
    <row r="71" spans="2:24" ht="23.1" customHeight="1">
      <c r="B71" s="105"/>
      <c r="C71" s="157" t="s">
        <v>409</v>
      </c>
      <c r="D71" s="202"/>
      <c r="E71" s="203"/>
      <c r="F71" s="87"/>
      <c r="G71" s="203"/>
      <c r="H71" s="87"/>
      <c r="I71" s="95"/>
      <c r="K71" s="414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7"/>
    </row>
    <row r="72" spans="2:24" ht="16.350000000000001" customHeight="1">
      <c r="B72" s="105"/>
      <c r="C72" s="155" t="s">
        <v>566</v>
      </c>
      <c r="D72" s="202"/>
      <c r="E72" s="203"/>
      <c r="F72" s="87"/>
      <c r="G72" s="203"/>
      <c r="H72" s="87"/>
      <c r="I72" s="95"/>
      <c r="K72" s="414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7"/>
    </row>
    <row r="73" spans="2:24" ht="16.350000000000001" customHeight="1">
      <c r="B73" s="105"/>
      <c r="C73" s="154"/>
      <c r="D73" s="202"/>
      <c r="E73" s="203"/>
      <c r="F73" s="203"/>
      <c r="G73" s="203"/>
      <c r="H73" s="87"/>
      <c r="I73" s="95"/>
      <c r="K73" s="414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6"/>
      <c r="X73" s="417"/>
    </row>
    <row r="74" spans="2:24" ht="16.350000000000001" customHeight="1">
      <c r="B74" s="105"/>
      <c r="C74" s="240"/>
      <c r="D74" s="155"/>
      <c r="E74" s="156"/>
      <c r="F74" s="156"/>
      <c r="G74" s="156"/>
      <c r="H74" s="87"/>
      <c r="I74" s="95"/>
      <c r="K74" s="414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7"/>
    </row>
    <row r="75" spans="2:24" ht="23.1" customHeight="1" thickBot="1">
      <c r="B75" s="108"/>
      <c r="C75" s="1116"/>
      <c r="D75" s="1116"/>
      <c r="E75" s="48"/>
      <c r="F75" s="48"/>
      <c r="G75" s="48"/>
      <c r="H75" s="109"/>
      <c r="I75" s="110"/>
      <c r="K75" s="408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  <c r="W75" s="409"/>
      <c r="X75" s="410"/>
    </row>
    <row r="76" spans="2:24" ht="23.1" customHeight="1">
      <c r="J76" s="88" t="s">
        <v>951</v>
      </c>
    </row>
    <row r="77" spans="2:24" ht="12.75">
      <c r="C77" s="111" t="s">
        <v>72</v>
      </c>
      <c r="H77" s="86" t="s">
        <v>515</v>
      </c>
    </row>
    <row r="78" spans="2:24" ht="12.75">
      <c r="C78" s="111" t="s">
        <v>73</v>
      </c>
    </row>
    <row r="79" spans="2:24" ht="12.75">
      <c r="C79" s="111" t="s">
        <v>74</v>
      </c>
    </row>
    <row r="80" spans="2:24" ht="12.75">
      <c r="C80" s="111" t="s">
        <v>75</v>
      </c>
    </row>
    <row r="81" spans="3:3" ht="12.75">
      <c r="C81" s="111" t="s">
        <v>76</v>
      </c>
    </row>
  </sheetData>
  <sheetProtection password="C354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72"/>
  <sheetViews>
    <sheetView tabSelected="1" zoomScale="75" zoomScaleNormal="75" zoomScalePageLayoutView="75" workbookViewId="0">
      <pane ySplit="14" topLeftCell="A15" activePane="bottomLeft" state="frozen"/>
      <selection pane="bottomLeft" activeCell="G29" sqref="G29"/>
    </sheetView>
  </sheetViews>
  <sheetFormatPr baseColWidth="10" defaultColWidth="10.6640625" defaultRowHeight="23.1" customHeight="1"/>
  <cols>
    <col min="1" max="1" width="3" style="265" customWidth="1"/>
    <col min="2" max="2" width="3.33203125" style="265" customWidth="1"/>
    <col min="3" max="3" width="12.33203125" style="265" customWidth="1"/>
    <col min="4" max="4" width="73.6640625" style="265" customWidth="1"/>
    <col min="5" max="7" width="39.33203125" style="265" customWidth="1"/>
    <col min="8" max="8" width="3.5546875" style="265" customWidth="1"/>
    <col min="9" max="9" width="10.6640625" style="265"/>
    <col min="10" max="12" width="4.33203125" style="265" customWidth="1"/>
    <col min="13" max="13" width="11.5546875" style="265" bestFit="1" customWidth="1"/>
    <col min="14" max="16384" width="10.6640625" style="265"/>
  </cols>
  <sheetData>
    <row r="2" spans="2:13" ht="23.1" customHeight="1">
      <c r="D2" s="294" t="s">
        <v>31</v>
      </c>
    </row>
    <row r="3" spans="2:13" ht="23.1" customHeight="1">
      <c r="D3" s="294" t="s">
        <v>32</v>
      </c>
    </row>
    <row r="4" spans="2:13" ht="23.1" customHeight="1" thickBot="1"/>
    <row r="5" spans="2:13" ht="9" customHeight="1">
      <c r="B5" s="787" t="s">
        <v>789</v>
      </c>
      <c r="C5" s="344"/>
      <c r="D5" s="344"/>
      <c r="E5" s="344"/>
      <c r="F5" s="344"/>
      <c r="G5" s="344"/>
      <c r="H5" s="345"/>
    </row>
    <row r="6" spans="2:13" ht="30" customHeight="1">
      <c r="B6" s="346"/>
      <c r="C6" s="1" t="s">
        <v>0</v>
      </c>
      <c r="D6" s="20"/>
      <c r="E6" s="20"/>
      <c r="G6" s="1110">
        <f>ejercicio</f>
        <v>2019</v>
      </c>
      <c r="H6" s="347"/>
    </row>
    <row r="7" spans="2:13" ht="30" customHeight="1">
      <c r="B7" s="346"/>
      <c r="C7" s="1" t="s">
        <v>1</v>
      </c>
      <c r="G7" s="1110">
        <v>2018</v>
      </c>
      <c r="H7" s="347"/>
    </row>
    <row r="8" spans="2:13" ht="30" customHeight="1">
      <c r="B8" s="346"/>
      <c r="G8" s="13"/>
      <c r="H8" s="347"/>
      <c r="J8" s="348"/>
    </row>
    <row r="9" spans="2:13" ht="30" customHeight="1">
      <c r="B9" s="346"/>
      <c r="C9" s="35" t="s">
        <v>2</v>
      </c>
      <c r="D9" s="1115" t="str">
        <f>Entidad</f>
        <v>TEA TENERIFE ESPACIO DE LAS ARTES</v>
      </c>
      <c r="E9" s="1115"/>
      <c r="F9" s="1115"/>
      <c r="G9" s="1115"/>
      <c r="H9" s="347"/>
    </row>
    <row r="10" spans="2:13" ht="7.35" customHeight="1">
      <c r="B10" s="346"/>
      <c r="G10" s="348"/>
      <c r="H10" s="347"/>
    </row>
    <row r="11" spans="2:13" s="1" customFormat="1" ht="30" customHeight="1">
      <c r="B11" s="21"/>
      <c r="C11" s="785" t="s">
        <v>788</v>
      </c>
      <c r="D11" s="786"/>
      <c r="E11" s="786"/>
      <c r="F11" s="786"/>
      <c r="G11" s="786"/>
      <c r="H11" s="22"/>
    </row>
    <row r="12" spans="2:13" ht="23.1" customHeight="1">
      <c r="B12" s="346"/>
      <c r="H12" s="347"/>
    </row>
    <row r="13" spans="2:13" ht="23.1" customHeight="1">
      <c r="B13" s="346"/>
      <c r="E13" s="762" t="s">
        <v>756</v>
      </c>
      <c r="F13" s="762" t="s">
        <v>755</v>
      </c>
      <c r="G13" s="762" t="s">
        <v>757</v>
      </c>
      <c r="H13" s="347"/>
    </row>
    <row r="14" spans="2:13" ht="23.1" customHeight="1">
      <c r="B14" s="346"/>
      <c r="E14" s="763">
        <f>ejercicio-2</f>
        <v>2017</v>
      </c>
      <c r="F14" s="763">
        <f>ejercicio-1</f>
        <v>2018</v>
      </c>
      <c r="G14" s="763">
        <f>ejercicio</f>
        <v>2019</v>
      </c>
      <c r="H14" s="347"/>
    </row>
    <row r="15" spans="2:13" s="294" customFormat="1" ht="30" customHeight="1">
      <c r="B15" s="764"/>
      <c r="C15" s="765" t="s">
        <v>659</v>
      </c>
      <c r="D15" s="765"/>
      <c r="E15" s="766" t="str">
        <f>IF(ROUND('FC-4_ACTIVO'!E94-'FC-4_PASIVO'!E86,2)=0,"Ok","Mal, revisa FC-4")</f>
        <v>Ok</v>
      </c>
      <c r="F15" s="766" t="str">
        <f>IF(ROUND('FC-4_ACTIVO'!F94-'FC-4_PASIVO'!F86,2)=0,"Ok","Mal, revisa FC-4")</f>
        <v>Ok</v>
      </c>
      <c r="G15" s="766" t="str">
        <f>IF(ROUND('FC-4_ACTIVO'!G94-'FC-4_PASIVO'!G86,2)=0,"Ok","Mal, revisa FC-4")</f>
        <v>Ok</v>
      </c>
      <c r="H15" s="767"/>
      <c r="J15" s="768">
        <f>IF(E15="Ok",0,1)</f>
        <v>0</v>
      </c>
      <c r="K15" s="768">
        <f>IF(F15="Ok",0,1)</f>
        <v>0</v>
      </c>
      <c r="L15" s="768">
        <f>IF(G15="Ok",0,1)</f>
        <v>0</v>
      </c>
      <c r="M15" s="768">
        <f>SUM(J15:L15)</f>
        <v>0</v>
      </c>
    </row>
    <row r="16" spans="2:13" s="294" customFormat="1" ht="30" customHeight="1">
      <c r="B16" s="764"/>
      <c r="C16" s="769" t="s">
        <v>661</v>
      </c>
      <c r="D16" s="769"/>
      <c r="E16" s="770" t="str">
        <f>IF(ROUND(('FC-3_CPyG'!E84-'FC-4_PASIVO'!E32),2)=0,"Ok","Mal, revisa FC-3 y FC-4")</f>
        <v>Ok</v>
      </c>
      <c r="F16" s="770" t="str">
        <f>IF(ROUND(('FC-3_CPyG'!F84-'FC-4_PASIVO'!F32),2)=0,"Ok","Mal, revisa FC-3 y FC-4")</f>
        <v>Ok</v>
      </c>
      <c r="G16" s="770" t="str">
        <f>IF(ROUND(('FC-3_CPyG'!G84-'FC-4_PASIVO'!G32),2)=0,"Ok","Mal, revisa FC-3 y FC-4")</f>
        <v>Ok</v>
      </c>
      <c r="H16" s="767"/>
      <c r="J16" s="768">
        <f t="shared" ref="J16:J21" si="0">IF(E16="Ok",0,1)</f>
        <v>0</v>
      </c>
      <c r="K16" s="768">
        <f t="shared" ref="K16:K21" si="1">IF(F16="Ok",0,1)</f>
        <v>0</v>
      </c>
      <c r="L16" s="768">
        <f t="shared" ref="L16:L32" si="2">IF(G16="Ok",0,1)</f>
        <v>0</v>
      </c>
      <c r="M16" s="768">
        <f t="shared" ref="M16:M58" si="3">SUM(J16:L16)</f>
        <v>0</v>
      </c>
    </row>
    <row r="17" spans="2:13" s="294" customFormat="1" ht="30" customHeight="1">
      <c r="B17" s="764"/>
      <c r="C17" s="769" t="s">
        <v>662</v>
      </c>
      <c r="D17" s="769"/>
      <c r="E17" s="770" t="str">
        <f>IF(_GENERAL!D14="Normal",IF(ROUND('FC-5_EFE'!F92,2)=ROUND(('FC-5_EFE'!F95-'FC-5_EFE'!F94),2),"Ok","Mal, revisa FC-5"),"No aplica")</f>
        <v>No aplica</v>
      </c>
      <c r="F17" s="770" t="str">
        <f>IF(_GENERAL!D14="Normal",IF(ROUND('FC-5_EFE'!G92,2)=ROUND(('FC-5_EFE'!G95-'FC-5_EFE'!G94),2),"Ok","Mal, revisa FC-5"),"No aplica")</f>
        <v>No aplica</v>
      </c>
      <c r="G17" s="770" t="str">
        <f>IF(_GENERAL!D14="Normal",IF(ROUND('FC-5_EFE'!H92,2)=ROUND(('FC-5_EFE'!H95-'FC-5_EFE'!H94),2),"Ok","Mal, revisa FC-5"),"No aplica")</f>
        <v>No aplica</v>
      </c>
      <c r="H17" s="767"/>
      <c r="J17" s="768">
        <f t="shared" si="0"/>
        <v>1</v>
      </c>
      <c r="K17" s="768">
        <f t="shared" si="1"/>
        <v>1</v>
      </c>
      <c r="L17" s="768">
        <f t="shared" si="2"/>
        <v>1</v>
      </c>
      <c r="M17" s="768">
        <f t="shared" si="3"/>
        <v>3</v>
      </c>
    </row>
    <row r="18" spans="2:13" s="294" customFormat="1" ht="30" customHeight="1">
      <c r="B18" s="764"/>
      <c r="C18" s="771" t="s">
        <v>722</v>
      </c>
      <c r="D18" s="769"/>
      <c r="E18" s="770" t="str">
        <f>IF(ROUND('FC-3_CPyG'!E16-'FC-3_1_INF_ADIC_CPyG'!E43,2)=0,"Ok","Mal, revisa datos en FC-3 PyG y FC3.1")</f>
        <v>Ok</v>
      </c>
      <c r="F18" s="770" t="str">
        <f>IF(ROUND('FC-3_CPyG'!F16-'FC-3_1_INF_ADIC_CPyG'!H43,2)=0,"Ok","Mal, revisa datos en FC-3 PyG y FC3.1")</f>
        <v>Ok</v>
      </c>
      <c r="G18" s="770" t="str">
        <f>IF(ROUND('FC-3_CPyG'!G16-'FC-3_1_INF_ADIC_CPyG'!K43,2)=0,"Ok","Mal, revisa datos en FC-3 PyG y FC3.1")</f>
        <v>Ok</v>
      </c>
      <c r="H18" s="767"/>
      <c r="J18" s="768">
        <f t="shared" si="0"/>
        <v>0</v>
      </c>
      <c r="K18" s="768">
        <f t="shared" si="1"/>
        <v>0</v>
      </c>
      <c r="L18" s="768">
        <f t="shared" si="2"/>
        <v>0</v>
      </c>
      <c r="M18" s="768">
        <f t="shared" si="3"/>
        <v>0</v>
      </c>
    </row>
    <row r="19" spans="2:13" s="294" customFormat="1" ht="30" customHeight="1">
      <c r="B19" s="764"/>
      <c r="C19" s="771" t="s">
        <v>725</v>
      </c>
      <c r="D19" s="769"/>
      <c r="E19" s="770" t="str">
        <f>IF(ROUND('FC-3_CPyG'!E48-'FC-3_1_INF_ADIC_CPyG'!E47-'FC-3_1_INF_ADIC_CPyG'!E55,2)=0,"Ok","Mal, revisa datos en FC-3 CPYG y FC-3.1")</f>
        <v>Ok</v>
      </c>
      <c r="F19" s="770" t="str">
        <f>IF(ROUND('FC-3_CPyG'!F48-'FC-3_1_INF_ADIC_CPyG'!F47-'FC-3_1_INF_ADIC_CPyG'!F55,2)=0,"Ok","Mal, revisa datos en FC-3 CPYG y FC-3.1")</f>
        <v>Ok</v>
      </c>
      <c r="G19" s="770" t="str">
        <f>IF(ROUND('FC-3_CPyG'!G48-'FC-3_1_INF_ADIC_CPyG'!G47-'FC-3_1_INF_ADIC_CPyG'!G55,2)=0,"Ok","Mal, revisa datos en FC-3 CPYG y FC-3.1")</f>
        <v>Ok</v>
      </c>
      <c r="H19" s="767"/>
      <c r="J19" s="768">
        <f t="shared" si="0"/>
        <v>0</v>
      </c>
      <c r="K19" s="768">
        <f t="shared" si="1"/>
        <v>0</v>
      </c>
      <c r="L19" s="768">
        <f t="shared" si="2"/>
        <v>0</v>
      </c>
      <c r="M19" s="768">
        <f t="shared" si="3"/>
        <v>0</v>
      </c>
    </row>
    <row r="20" spans="2:13" s="294" customFormat="1" ht="30" customHeight="1">
      <c r="B20" s="764"/>
      <c r="C20" s="771" t="s">
        <v>726</v>
      </c>
      <c r="D20" s="769"/>
      <c r="E20" s="770" t="str">
        <f>IF(ROUND('FC-3_CPyG'!E28-'FC-3_1_INF_ADIC_CPyG'!E71,2)=0,"Ok","Mal, revísa datos en FC-3 y FC-3.1")</f>
        <v>Ok</v>
      </c>
      <c r="F20" s="770" t="str">
        <f>IF(ROUND('FC-3_CPyG'!F28-'FC-3_1_INF_ADIC_CPyG'!F71,2)=0,"Ok","Mal, revísa datos en FC-3 y FC-3.1")</f>
        <v>Ok</v>
      </c>
      <c r="G20" s="770" t="str">
        <f>IF(ROUND('FC-3_CPyG'!G28-'FC-3_1_INF_ADIC_CPyG'!G71,2)=0,"Ok","Mal, revísa datos en FC-3 y FC-3.1")</f>
        <v>Ok</v>
      </c>
      <c r="H20" s="767"/>
      <c r="J20" s="768">
        <f t="shared" si="0"/>
        <v>0</v>
      </c>
      <c r="K20" s="768">
        <f t="shared" si="1"/>
        <v>0</v>
      </c>
      <c r="L20" s="768">
        <f t="shared" si="2"/>
        <v>0</v>
      </c>
      <c r="M20" s="768">
        <f t="shared" si="3"/>
        <v>0</v>
      </c>
    </row>
    <row r="21" spans="2:13" s="294" customFormat="1" ht="30" customHeight="1">
      <c r="B21" s="764"/>
      <c r="C21" s="771" t="s">
        <v>727</v>
      </c>
      <c r="D21" s="769"/>
      <c r="E21" s="770" t="str">
        <f>IF(ROUND('FC-3_CPyG'!E29-'FC-3_1_INF_ADIC_CPyG'!E75,2)=0,"Ok","Mal, revisa datos en FC-3 CPyG y FC-3.1")</f>
        <v>Ok</v>
      </c>
      <c r="F21" s="770" t="str">
        <f>IF(ROUND('FC-3_CPyG'!F29-'FC-3_1_INF_ADIC_CPyG'!F75,2)=0,"Ok","Mal, revisa datos en FC-3 CPyG y FC-3.1")</f>
        <v>Ok</v>
      </c>
      <c r="G21" s="770" t="str">
        <f>IF(ROUND('FC-3_CPyG'!G29-'FC-3_1_INF_ADIC_CPyG'!G75,2)=0,"Ok","Mal, revisa datos en FC-3 CPyG y FC-3.1")</f>
        <v>Ok</v>
      </c>
      <c r="H21" s="767"/>
      <c r="J21" s="768">
        <f t="shared" si="0"/>
        <v>0</v>
      </c>
      <c r="K21" s="768">
        <f t="shared" si="1"/>
        <v>0</v>
      </c>
      <c r="L21" s="768">
        <f t="shared" si="2"/>
        <v>0</v>
      </c>
      <c r="M21" s="768">
        <f t="shared" si="3"/>
        <v>0</v>
      </c>
    </row>
    <row r="22" spans="2:13" s="294" customFormat="1" ht="30" customHeight="1">
      <c r="B22" s="764"/>
      <c r="C22" s="828" t="s">
        <v>986</v>
      </c>
      <c r="D22" s="769"/>
      <c r="E22" s="772"/>
      <c r="F22" s="770" t="str">
        <f>IF(ROUND('FC-4_PASIVO'!F18-'FC-4_1_MOV_FP'!L17,2)=0,"Ok","Mal, revisa FC-4 y FC-4.1 MOV. F.P.")</f>
        <v>Ok</v>
      </c>
      <c r="G22" s="770" t="str">
        <f>IF(ROUND('FC-4_PASIVO'!G18-'FC-4_1_MOV_FP'!L39,2)=0,"Ok","Mal, revisa FC-4 y FC-4.1 MOV. F.P.")</f>
        <v>Ok</v>
      </c>
      <c r="H22" s="767"/>
      <c r="J22" s="768"/>
      <c r="K22" s="768"/>
      <c r="L22" s="768"/>
      <c r="M22" s="768"/>
    </row>
    <row r="23" spans="2:13" s="294" customFormat="1" ht="30" customHeight="1">
      <c r="B23" s="764"/>
      <c r="C23" s="828" t="s">
        <v>987</v>
      </c>
      <c r="D23" s="769"/>
      <c r="E23" s="772"/>
      <c r="F23" s="770" t="str">
        <f>IF(ROUND('FC-4_PASIVO'!F21-'FC-4_1_MOV_FP'!L20,2)=0,"Ok","Mal, revisa FC-4 y FC-4.1 MOV. F.P.")</f>
        <v>Ok</v>
      </c>
      <c r="G23" s="770" t="str">
        <f>IF(ROUND('FC-4_PASIVO'!G21-'FC-4_1_MOV_FP'!L42,2)=0,"Ok","Mal, revisa FC-4 y FC-4.1 MOV. F.P.")</f>
        <v>Ok</v>
      </c>
      <c r="H23" s="767"/>
      <c r="J23" s="768"/>
      <c r="K23" s="768"/>
      <c r="L23" s="768"/>
      <c r="M23" s="768"/>
    </row>
    <row r="24" spans="2:13" s="294" customFormat="1" ht="30" customHeight="1">
      <c r="B24" s="764"/>
      <c r="C24" s="828" t="s">
        <v>988</v>
      </c>
      <c r="D24" s="769"/>
      <c r="E24" s="772"/>
      <c r="F24" s="770" t="str">
        <f>IF(ROUND('FC-4_PASIVO'!F22-'FC-4_1_MOV_FP'!L21,2)=0,"Ok","Mal, revisa FC-4 y FC-4.1 MOV. F.P.")</f>
        <v>Ok</v>
      </c>
      <c r="G24" s="770" t="str">
        <f>IF(ROUND('FC-4_PASIVO'!G22-'FC-4_1_MOV_FP'!L43,2)=0,"Ok","Mal, revisa FC-4 y FC-4.1 MOV. F.P.")</f>
        <v>Ok</v>
      </c>
      <c r="H24" s="767"/>
      <c r="J24" s="768"/>
      <c r="K24" s="768"/>
      <c r="L24" s="768"/>
      <c r="M24" s="768"/>
    </row>
    <row r="25" spans="2:13" s="294" customFormat="1" ht="30" customHeight="1">
      <c r="B25" s="764"/>
      <c r="C25" s="828" t="s">
        <v>989</v>
      </c>
      <c r="D25" s="769"/>
      <c r="E25" s="772"/>
      <c r="F25" s="770" t="str">
        <f>IF(ROUND('FC-4_PASIVO'!F27-'FC-4_1_MOV_FP'!L26,2)=0,"Ok","Mal, revisa FC-4 y FC-4.1 MOV. F.P.")</f>
        <v>Ok</v>
      </c>
      <c r="G25" s="770" t="str">
        <f>IF(ROUND('FC-4_PASIVO'!G27-'FC-4_1_MOV_FP'!L48,2)=0,"Ok","Mal, revisa FC-4 y FC-4.1 MOV. F.P.")</f>
        <v>Ok</v>
      </c>
      <c r="H25" s="767"/>
      <c r="J25" s="768"/>
      <c r="K25" s="768"/>
      <c r="L25" s="768"/>
      <c r="M25" s="768"/>
    </row>
    <row r="26" spans="2:13" s="294" customFormat="1" ht="30" customHeight="1">
      <c r="B26" s="764"/>
      <c r="C26" s="828" t="s">
        <v>990</v>
      </c>
      <c r="D26" s="769"/>
      <c r="E26" s="772"/>
      <c r="F26" s="770" t="str">
        <f>IF(ROUND('FC-4_PASIVO'!F28-'FC-4_1_MOV_FP'!L27,2)=0,"Ok","Mal, revisa FC-4 y FC-4.1 MOV. F.P.")</f>
        <v>Ok</v>
      </c>
      <c r="G26" s="770" t="str">
        <f>IF(ROUND('FC-4_PASIVO'!G28-'FC-4_1_MOV_FP'!L49,2)=0,"Ok","Mal, revisa FC-4 y FC-4.1 MOV. F.P.")</f>
        <v>Ok</v>
      </c>
      <c r="H26" s="767"/>
      <c r="J26" s="768"/>
      <c r="K26" s="768"/>
      <c r="L26" s="768"/>
      <c r="M26" s="768"/>
    </row>
    <row r="27" spans="2:13" s="294" customFormat="1" ht="30" customHeight="1">
      <c r="B27" s="764"/>
      <c r="C27" s="828" t="s">
        <v>991</v>
      </c>
      <c r="D27" s="769"/>
      <c r="E27" s="772"/>
      <c r="F27" s="770" t="str">
        <f>IF(ROUND('FC-4_PASIVO'!F31-'FC-4_1_MOV_FP'!L30,2)=0,"Ok","Mal, revisa FC-4 y FC-4.1 MOV. F.P.")</f>
        <v>Ok</v>
      </c>
      <c r="G27" s="770" t="str">
        <f>IF(ROUND('FC-4_PASIVO'!G31-'FC-4_1_MOV_FP'!L52,2)=0,"Ok","Mal, revisa FC-4 y FC-4.1 MOV. F.P.")</f>
        <v>Ok</v>
      </c>
      <c r="H27" s="767"/>
      <c r="J27" s="768"/>
      <c r="K27" s="768"/>
      <c r="L27" s="768"/>
      <c r="M27" s="768"/>
    </row>
    <row r="28" spans="2:13" s="294" customFormat="1" ht="30" customHeight="1">
      <c r="B28" s="764"/>
      <c r="C28" s="828" t="s">
        <v>992</v>
      </c>
      <c r="D28" s="769"/>
      <c r="E28" s="772"/>
      <c r="F28" s="770" t="str">
        <f>IF(ROUND('FC-4_PASIVO'!F32-'FC-4_1_MOV_FP'!L31,2)=0,"Ok","Mal, revisa FC-4 y FC-4.1 MOV. F.P.")</f>
        <v>Ok</v>
      </c>
      <c r="G28" s="770" t="str">
        <f>IF(ROUND('FC-4_PASIVO'!G32-'FC-4_1_MOV_FP'!L53,2)=0,"Ok","Mal, revisa FC-4 y FC-4.1 MOV. F.P.")</f>
        <v>Ok</v>
      </c>
      <c r="H28" s="767"/>
      <c r="J28" s="768"/>
      <c r="K28" s="768"/>
      <c r="L28" s="768"/>
      <c r="M28" s="768"/>
    </row>
    <row r="29" spans="2:13" s="294" customFormat="1" ht="30" customHeight="1">
      <c r="B29" s="764"/>
      <c r="C29" s="828" t="s">
        <v>993</v>
      </c>
      <c r="D29" s="769"/>
      <c r="E29" s="772"/>
      <c r="F29" s="770" t="str">
        <f>IF(ROUND('FC-4_PASIVO'!F33-'FC-4_1_MOV_FP'!L32,2)=0,"Ok","Mal, revisa FC-4 y FC-4.1 MOV. F.P.")</f>
        <v>Ok</v>
      </c>
      <c r="G29" s="770" t="str">
        <f>IF(ROUND('FC-4_PASIVO'!G33-'FC-4_1_MOV_FP'!L54,2)=0,"Ok","Mal, revisa FC-4 y FC-4.1 MOV. F.P.")</f>
        <v>Ok</v>
      </c>
      <c r="H29" s="767"/>
      <c r="J29" s="768"/>
      <c r="K29" s="768"/>
      <c r="L29" s="768"/>
      <c r="M29" s="768"/>
    </row>
    <row r="30" spans="2:13" s="294" customFormat="1" ht="30" customHeight="1">
      <c r="B30" s="764"/>
      <c r="C30" s="828" t="s">
        <v>994</v>
      </c>
      <c r="D30" s="769"/>
      <c r="E30" s="772"/>
      <c r="F30" s="770" t="str">
        <f>IF(ROUND('FC-4_PASIVO'!F34-'FC-4_1_MOV_FP'!L33,2)=0,"Ok","Mal, revisa FC-4 y FC-4.1 MOV. F.P.")</f>
        <v>Ok</v>
      </c>
      <c r="G30" s="770" t="str">
        <f>IF(ROUND('FC-4_PASIVO'!G34-'FC-4_1_MOV_FP'!L55,2)=0,"Ok","Mal, revisa FC-4 y FC-4.1 MOV. F.P.")</f>
        <v>Ok</v>
      </c>
      <c r="H30" s="767"/>
      <c r="J30" s="768"/>
      <c r="K30" s="768"/>
      <c r="L30" s="768"/>
      <c r="M30" s="768"/>
    </row>
    <row r="31" spans="2:13" s="294" customFormat="1" ht="30" customHeight="1">
      <c r="B31" s="764"/>
      <c r="C31" s="828" t="s">
        <v>995</v>
      </c>
      <c r="D31" s="769"/>
      <c r="E31" s="772"/>
      <c r="F31" s="770" t="str">
        <f>IF(ROUND('FC-4_1_MOV_FP'!H30-'FC-9_TRANS_SUBV'!G67,2)=0,"Ok","Mal, revísa FC-4 PASIVO y FC-9")</f>
        <v>Ok</v>
      </c>
      <c r="G31" s="770" t="str">
        <f>IF(ROUND('FC-4_1_MOV_FP'!H52-'FC-9_TRANS_SUBV'!H67,2)=0,"Ok","Mal, revísa FC-4 PASIVO y FC-9")</f>
        <v>Ok</v>
      </c>
      <c r="H31" s="767"/>
      <c r="J31" s="768"/>
      <c r="K31" s="768">
        <f>IF(F31="Ok",0,1)</f>
        <v>0</v>
      </c>
      <c r="L31" s="768">
        <f>IF(G31="Ok",0,1)</f>
        <v>0</v>
      </c>
      <c r="M31" s="768">
        <f>SUM(J31:L31)</f>
        <v>0</v>
      </c>
    </row>
    <row r="32" spans="2:13" s="294" customFormat="1" ht="30" customHeight="1">
      <c r="B32" s="764"/>
      <c r="C32" s="771" t="s">
        <v>721</v>
      </c>
      <c r="D32" s="769"/>
      <c r="E32" s="772"/>
      <c r="F32" s="772"/>
      <c r="G32" s="770" t="str">
        <f>IF(ROUND('FC-6_Inversiones'!G46-SUM('FC-6_Inversiones'!H46:M46),2)=0,"Ok","Mal, revisa totales FC-6")</f>
        <v>Ok</v>
      </c>
      <c r="H32" s="767"/>
      <c r="J32" s="768"/>
      <c r="K32" s="768"/>
      <c r="L32" s="768">
        <f t="shared" si="2"/>
        <v>0</v>
      </c>
      <c r="M32" s="768">
        <f t="shared" si="3"/>
        <v>0</v>
      </c>
    </row>
    <row r="33" spans="2:13" s="294" customFormat="1" ht="30" customHeight="1">
      <c r="B33" s="764"/>
      <c r="C33" s="769" t="s">
        <v>664</v>
      </c>
      <c r="D33" s="769"/>
      <c r="E33" s="772"/>
      <c r="F33" s="770" t="str">
        <f>IF(ROUND('FC-4_ACTIVO'!F17-'FC-7_INF'!M15,2)=0,"Ok","Mal, revisa FC-4 ACTIVO y FC-7")</f>
        <v>Ok</v>
      </c>
      <c r="G33" s="770" t="str">
        <f>IF(ROUND('FC-4_ACTIVO'!G17-'FC-7_INF'!M26,2)=0,"Ok","Mal, revisa FC-4 ACTIVO y FC-7")</f>
        <v>Ok</v>
      </c>
      <c r="H33" s="767"/>
      <c r="J33" s="768"/>
      <c r="K33" s="768">
        <f t="shared" ref="K33:K37" si="4">IF(F33="Ok",0,1)</f>
        <v>0</v>
      </c>
      <c r="L33" s="768">
        <f t="shared" ref="L33:L37" si="5">IF(G33="Ok",0,1)</f>
        <v>0</v>
      </c>
      <c r="M33" s="768">
        <f t="shared" si="3"/>
        <v>0</v>
      </c>
    </row>
    <row r="34" spans="2:13" s="294" customFormat="1" ht="30" customHeight="1">
      <c r="B34" s="764"/>
      <c r="C34" s="769" t="s">
        <v>663</v>
      </c>
      <c r="D34" s="769"/>
      <c r="E34" s="772"/>
      <c r="F34" s="770" t="str">
        <f>IF(ROUND('FC-4_ACTIVO'!F26-'FC-7_INF'!M16-'FC-7_INF'!M17,2)=0,"Ok","Mal, revisa FC-4 ACTIVO y FC-7")</f>
        <v>Ok</v>
      </c>
      <c r="G34" s="770" t="str">
        <f>IF(ROUND('FC-4_ACTIVO'!G26-'FC-7_INF'!M27-'FC-7_INF'!M28,2)=0,"Ok","Mal, revisa FC-4 ACTIVO y FC-7")</f>
        <v>Ok</v>
      </c>
      <c r="H34" s="767"/>
      <c r="J34" s="768"/>
      <c r="K34" s="768">
        <f t="shared" si="4"/>
        <v>0</v>
      </c>
      <c r="L34" s="768">
        <f t="shared" si="5"/>
        <v>0</v>
      </c>
      <c r="M34" s="768">
        <f t="shared" si="3"/>
        <v>0</v>
      </c>
    </row>
    <row r="35" spans="2:13" s="294" customFormat="1" ht="30" customHeight="1">
      <c r="B35" s="764"/>
      <c r="C35" s="769" t="s">
        <v>665</v>
      </c>
      <c r="D35" s="769"/>
      <c r="E35" s="772"/>
      <c r="F35" s="770" t="str">
        <f>IF(ROUND(('FC-4_ACTIVO'!F30-'FC-7_INF'!M18-'FC-7_INF'!M19),2)=0,"Ok","Mal, revisa FC-4 ACTIVO y FC-7")</f>
        <v>Ok</v>
      </c>
      <c r="G35" s="770" t="str">
        <f>IF(ROUND(('FC-4_ACTIVO'!G30-'FC-7_INF'!M29-'FC-7_INF'!M30),2)=0,"Ok","Mal, revisa FC-4 ACTIVO y FC-7")</f>
        <v>Ok</v>
      </c>
      <c r="H35" s="767"/>
      <c r="J35" s="768"/>
      <c r="K35" s="768">
        <f t="shared" si="4"/>
        <v>0</v>
      </c>
      <c r="L35" s="768">
        <f t="shared" si="5"/>
        <v>0</v>
      </c>
      <c r="M35" s="768">
        <f t="shared" si="3"/>
        <v>0</v>
      </c>
    </row>
    <row r="36" spans="2:13" s="294" customFormat="1" ht="30" customHeight="1">
      <c r="B36" s="764"/>
      <c r="C36" s="771" t="s">
        <v>708</v>
      </c>
      <c r="D36" s="769"/>
      <c r="E36" s="772"/>
      <c r="F36" s="773" t="str">
        <f>IF(ROUND('FC-7_INF'!M22-'FC-4_ACTIVO'!F52,2)=0,"Ok","Mal, revisa FC-4 ACTIVO y FC-7")</f>
        <v>Ok</v>
      </c>
      <c r="G36" s="773" t="str">
        <f>IF(ROUND('FC-7_INF'!M33-'FC-4_ACTIVO'!G52,2)=0,"Ok","Mal, revisa FC-4 ACTIVO y FC-7")</f>
        <v>Ok</v>
      </c>
      <c r="H36" s="767"/>
      <c r="J36" s="768"/>
      <c r="K36" s="768">
        <f t="shared" si="4"/>
        <v>0</v>
      </c>
      <c r="L36" s="768">
        <f t="shared" si="5"/>
        <v>0</v>
      </c>
      <c r="M36" s="768">
        <f t="shared" si="3"/>
        <v>0</v>
      </c>
    </row>
    <row r="37" spans="2:13" s="294" customFormat="1" ht="30" customHeight="1">
      <c r="B37" s="764"/>
      <c r="C37" s="771" t="s">
        <v>709</v>
      </c>
      <c r="D37" s="769"/>
      <c r="E37" s="772"/>
      <c r="F37" s="770" t="str">
        <f>IF(ROUND('FC-3_CPyG'!F40-'FC-7_INF'!I20,2)=0,"Ok","Mal, revisa datos en FC-3 y FC-7")</f>
        <v>Ok</v>
      </c>
      <c r="G37" s="770" t="str">
        <f>IF(ROUND('FC-3_CPyG'!G40-'FC-7_INF'!I31,2)=0,"Ok","Mal, revisa datos en FC-3 y FC-7")</f>
        <v>Ok</v>
      </c>
      <c r="H37" s="767"/>
      <c r="J37" s="768"/>
      <c r="K37" s="768">
        <f t="shared" si="4"/>
        <v>0</v>
      </c>
      <c r="L37" s="768">
        <f t="shared" si="5"/>
        <v>0</v>
      </c>
      <c r="M37" s="768">
        <f t="shared" si="3"/>
        <v>0</v>
      </c>
    </row>
    <row r="38" spans="2:13" s="294" customFormat="1" ht="30" customHeight="1">
      <c r="B38" s="764"/>
      <c r="C38" s="774" t="s">
        <v>754</v>
      </c>
      <c r="D38" s="769"/>
      <c r="E38" s="772"/>
      <c r="F38" s="772"/>
      <c r="G38" s="770" t="str">
        <f>IF(ROUND('FC-6_Inversiones'!I46-'FC-7_INF'!F31,2)=0,"Ok","Mal, revisa I46 en FC-6 y F31 en FC-7")</f>
        <v>Ok</v>
      </c>
      <c r="H38" s="767"/>
      <c r="J38" s="768"/>
      <c r="K38" s="768"/>
      <c r="L38" s="768"/>
      <c r="M38" s="768"/>
    </row>
    <row r="39" spans="2:13" s="294" customFormat="1" ht="30" customHeight="1">
      <c r="B39" s="764"/>
      <c r="C39" s="775" t="s">
        <v>783</v>
      </c>
      <c r="D39" s="775"/>
      <c r="E39" s="776"/>
      <c r="F39" s="776"/>
      <c r="G39" s="777" t="str">
        <f>IF(ROUND(('FC-4_ACTIVO'!G34+'FC-4_ACTIVO'!G76)-'FC-8_INV_FINANCIERAS'!J25,2)=0,"Ok","Mal, revisa datos en FC-4 Activo y FC-8")</f>
        <v>Ok</v>
      </c>
      <c r="H39" s="767"/>
      <c r="J39" s="768"/>
      <c r="K39" s="768"/>
      <c r="L39" s="768"/>
      <c r="M39" s="768"/>
    </row>
    <row r="40" spans="2:13" s="294" customFormat="1" ht="30" customHeight="1">
      <c r="B40" s="764"/>
      <c r="C40" s="775" t="s">
        <v>785</v>
      </c>
      <c r="D40" s="775"/>
      <c r="E40" s="776"/>
      <c r="F40" s="776"/>
      <c r="G40" s="777" t="str">
        <f>IF(ROUND((SUM('FC-4_ACTIVO'!G35:G39)+SUM('FC-4_ACTIVO'!G77:G81))-('FC-8_INV_FINANCIERAS'!J34),2)=0,"Ok","Mal, revisa datos en FC-4 Activo y FC-8")</f>
        <v>Ok</v>
      </c>
      <c r="H40" s="767"/>
      <c r="J40" s="768"/>
      <c r="K40" s="768"/>
      <c r="L40" s="768"/>
      <c r="M40" s="768"/>
    </row>
    <row r="41" spans="2:13" s="294" customFormat="1" ht="30" customHeight="1">
      <c r="B41" s="764"/>
      <c r="C41" s="775" t="s">
        <v>784</v>
      </c>
      <c r="D41" s="775"/>
      <c r="E41" s="776"/>
      <c r="F41" s="776"/>
      <c r="G41" s="777" t="str">
        <f>IF(ROUND(('FC-4_ACTIVO'!G41+'FC-4_ACTIVO'!G83)-'FC-8_INV_FINANCIERAS'!J49,2)=0,"Ok","Mal, revisa datos en FC-4 ACTIVO y FC-8")</f>
        <v>Ok</v>
      </c>
      <c r="H41" s="767"/>
      <c r="J41" s="768"/>
      <c r="K41" s="768"/>
      <c r="L41" s="768"/>
      <c r="M41" s="768"/>
    </row>
    <row r="42" spans="2:13" s="294" customFormat="1" ht="30" customHeight="1">
      <c r="B42" s="764"/>
      <c r="C42" s="775" t="s">
        <v>786</v>
      </c>
      <c r="D42" s="775"/>
      <c r="E42" s="776"/>
      <c r="F42" s="776"/>
      <c r="G42" s="777" t="str">
        <f>IF(ROUND((SUM('FC-4_ACTIVO'!G42:G46)+SUM('FC-4_ACTIVO'!G84:G88))-'FC-8_INV_FINANCIERAS'!J58,2)=0,"Ok","Mal, revisa datos en FC-4 Activo y en FC-8")</f>
        <v>Ok</v>
      </c>
      <c r="H42" s="767"/>
      <c r="J42" s="768"/>
      <c r="K42" s="768"/>
      <c r="L42" s="768"/>
      <c r="M42" s="768"/>
    </row>
    <row r="43" spans="2:13" s="294" customFormat="1" ht="30" customHeight="1">
      <c r="B43" s="764"/>
      <c r="C43" s="828" t="s">
        <v>960</v>
      </c>
      <c r="D43" s="769"/>
      <c r="E43" s="776"/>
      <c r="F43" s="886" t="str">
        <f>IF(ROUND('FC-9_TRANS_SUBV'!F31-'FC-9_TRANS_SUBV'!G31-'FC-9_TRANS_SUBV'!H31,2)=0,"Ok","Mal, revisa en FC-9 línea original 31")</f>
        <v>Ok</v>
      </c>
      <c r="G43" s="886" t="str">
        <f>IF(ROUND('FC-9_TRANS_SUBV'!I31-'FC-9_TRANS_SUBV'!J31-'FC-9_TRANS_SUBV'!K31,2)=0,"Ok","Mal, revisa en FC-9 línea original 31")</f>
        <v>Ok</v>
      </c>
      <c r="H43" s="767"/>
      <c r="J43" s="768"/>
      <c r="K43" s="768"/>
      <c r="L43" s="768"/>
      <c r="M43" s="768"/>
    </row>
    <row r="44" spans="2:13" s="294" customFormat="1" ht="30" customHeight="1">
      <c r="B44" s="764"/>
      <c r="C44" s="771" t="s">
        <v>711</v>
      </c>
      <c r="D44" s="769"/>
      <c r="E44" s="772"/>
      <c r="F44" s="770" t="str">
        <f>IF(ROUND('FC-4_PASIVO'!F41-'FC-9_TRANS_SUBV'!G34,2)=0,"Ok","Mal, revisa FC-4 PASIVO y FC-9")</f>
        <v>Ok</v>
      </c>
      <c r="G44" s="770" t="str">
        <f>IF(ROUND('FC-4_PASIVO'!G41-'FC-9_TRANS_SUBV'!J34,2)=0,"Ok","Mal, revisa FC-4 PASIVO y FC-9")</f>
        <v>Ok</v>
      </c>
      <c r="H44" s="767"/>
      <c r="J44" s="768"/>
      <c r="K44" s="768">
        <f t="shared" ref="K44:K47" si="6">IF(F44="Ok",0,1)</f>
        <v>0</v>
      </c>
      <c r="L44" s="768">
        <f t="shared" ref="L44:L58" si="7">IF(G44="Ok",0,1)</f>
        <v>0</v>
      </c>
      <c r="M44" s="768">
        <f t="shared" si="3"/>
        <v>0</v>
      </c>
    </row>
    <row r="45" spans="2:13" s="826" customFormat="1" ht="30" customHeight="1">
      <c r="B45" s="827"/>
      <c r="C45" s="828" t="s">
        <v>824</v>
      </c>
      <c r="D45" s="828"/>
      <c r="E45" s="829"/>
      <c r="F45" s="830" t="str">
        <f>IF(ROUND('FC-3_CPyG'!F41+('FC-9_TRANS_SUBV'!F33),2)=0,"Ok","Mal, revisa datos FC-3 epígr. A) 9. y FC-9 celda F33")</f>
        <v>Ok</v>
      </c>
      <c r="G45" s="830" t="str">
        <f>IF(ROUND('FC-3_CPyG'!G41+('FC-9_TRANS_SUBV'!I33),2)=0,"Ok","Mal, revisa datos FC-3 epígr. A) 9. y FC-9 celda G33")</f>
        <v>Ok</v>
      </c>
      <c r="H45" s="831"/>
      <c r="J45" s="768"/>
      <c r="K45" s="768"/>
      <c r="L45" s="768"/>
      <c r="M45" s="768"/>
    </row>
    <row r="46" spans="2:13" s="294" customFormat="1" ht="30" customHeight="1">
      <c r="B46" s="764"/>
      <c r="C46" s="771" t="s">
        <v>712</v>
      </c>
      <c r="D46" s="769"/>
      <c r="E46" s="772"/>
      <c r="F46" s="770" t="str">
        <f>IF(ROUND('FC-3_CPyG'!F29-'FC-9_TRANS_SUBV'!G52,2)=0,"Ok","Mal, revisa dato en FC-3 y FC-9")</f>
        <v>Ok</v>
      </c>
      <c r="G46" s="770" t="str">
        <f>IF(ROUND('FC-3_CPyG'!G29-'FC-9_TRANS_SUBV'!H52,2)=0,"Ok","Mal, revisa dato en FC-3 y FC-9")</f>
        <v>Ok</v>
      </c>
      <c r="H46" s="767"/>
      <c r="J46" s="768"/>
      <c r="K46" s="768">
        <f t="shared" si="6"/>
        <v>0</v>
      </c>
      <c r="L46" s="768">
        <f t="shared" si="7"/>
        <v>0</v>
      </c>
      <c r="M46" s="768">
        <f t="shared" si="3"/>
        <v>0</v>
      </c>
    </row>
    <row r="47" spans="2:13" s="294" customFormat="1" ht="30" customHeight="1">
      <c r="B47" s="764"/>
      <c r="C47" s="828" t="s">
        <v>942</v>
      </c>
      <c r="D47" s="769"/>
      <c r="E47" s="772"/>
      <c r="F47" s="772"/>
      <c r="G47" s="770" t="str">
        <f>IF(ROUND(('FC-4_PASIVO'!G51+'FC-4_PASIVO'!G52)-('FC-10_DEUDAS'!S43),2)=0,"Ok","Mal, revisa datos en FC-4 PASIVO y FC-10")</f>
        <v>Ok</v>
      </c>
      <c r="H47" s="767"/>
      <c r="J47" s="768"/>
      <c r="K47" s="768">
        <f t="shared" si="6"/>
        <v>1</v>
      </c>
      <c r="L47" s="768">
        <f t="shared" si="7"/>
        <v>0</v>
      </c>
      <c r="M47" s="768">
        <f t="shared" si="3"/>
        <v>1</v>
      </c>
    </row>
    <row r="48" spans="2:13" s="294" customFormat="1" ht="30" customHeight="1">
      <c r="B48" s="764"/>
      <c r="C48" s="828" t="s">
        <v>943</v>
      </c>
      <c r="D48" s="769"/>
      <c r="E48" s="772"/>
      <c r="F48" s="772"/>
      <c r="G48" s="770" t="str">
        <f>IF(ROUND(('FC-4_PASIVO'!G68+'FC-4_PASIVO'!G69)-('FC-10_DEUDAS'!R43),2)=0,"Ok","Mal, revisa datos en FC-4 PASIVO y FC-10")</f>
        <v>Ok</v>
      </c>
      <c r="H48" s="767"/>
      <c r="J48" s="768"/>
      <c r="K48" s="768"/>
      <c r="L48" s="768"/>
      <c r="M48" s="768"/>
    </row>
    <row r="49" spans="2:13" s="294" customFormat="1" ht="30" customHeight="1">
      <c r="B49" s="764"/>
      <c r="C49" s="828" t="s">
        <v>964</v>
      </c>
      <c r="D49" s="769"/>
      <c r="E49" s="772"/>
      <c r="F49" s="772"/>
      <c r="G49" s="770" t="str">
        <f>IF(ROUND('FC-4_PASIVO'!G54-'FC-10_DEUDAS'!S75,2)=0,"Ok","Mal, revisa datos en FC-4 Pasivo y FC-10")</f>
        <v>Ok</v>
      </c>
      <c r="H49" s="767"/>
      <c r="J49" s="768"/>
      <c r="K49" s="768"/>
      <c r="L49" s="768"/>
      <c r="M49" s="768"/>
    </row>
    <row r="50" spans="2:13" s="294" customFormat="1" ht="30" customHeight="1">
      <c r="B50" s="764"/>
      <c r="C50" s="828" t="s">
        <v>963</v>
      </c>
      <c r="D50" s="769"/>
      <c r="E50" s="772"/>
      <c r="F50" s="772"/>
      <c r="G50" s="770" t="str">
        <f>IF(ROUND('FC-4_PASIVO'!G71-'FC-10_DEUDAS'!R75,2)=0,"Ok","Mal, revisa datos en FC-4 Pasivo y FC-10")</f>
        <v>Ok</v>
      </c>
      <c r="H50" s="767"/>
      <c r="J50" s="768"/>
      <c r="K50" s="768"/>
      <c r="L50" s="768"/>
      <c r="M50" s="768"/>
    </row>
    <row r="51" spans="2:13" s="294" customFormat="1" ht="30" customHeight="1">
      <c r="B51" s="764"/>
      <c r="C51" s="828" t="s">
        <v>965</v>
      </c>
      <c r="D51" s="769"/>
      <c r="E51" s="772"/>
      <c r="F51" s="772"/>
      <c r="G51" s="770" t="str">
        <f>IF(ROUND('FC-4_PASIVO'!G55-'FC-10_DEUDAS'!S107,2)=0,"Ok","Mal, revisa datos en FC-4 Pasivo y FC-10")</f>
        <v>Ok</v>
      </c>
      <c r="H51" s="767"/>
      <c r="J51" s="768"/>
      <c r="K51" s="768"/>
      <c r="L51" s="768"/>
      <c r="M51" s="768"/>
    </row>
    <row r="52" spans="2:13" s="294" customFormat="1" ht="30" customHeight="1">
      <c r="B52" s="764"/>
      <c r="C52" s="828" t="s">
        <v>966</v>
      </c>
      <c r="D52" s="769"/>
      <c r="E52" s="772"/>
      <c r="F52" s="772"/>
      <c r="G52" s="770" t="str">
        <f>IF(ROUND('FC-4_PASIVO'!G72-'FC-10_DEUDAS'!R107,2)=0,"Ok","Mal, revisa datos en FC-4 Pasivo y FC-10")</f>
        <v>Ok</v>
      </c>
      <c r="H52" s="767"/>
      <c r="J52" s="768"/>
      <c r="K52" s="768"/>
      <c r="L52" s="768"/>
      <c r="M52" s="768"/>
    </row>
    <row r="53" spans="2:13" s="294" customFormat="1" ht="30" customHeight="1">
      <c r="B53" s="764"/>
      <c r="C53" s="828" t="s">
        <v>972</v>
      </c>
      <c r="D53" s="769"/>
      <c r="E53" s="772"/>
      <c r="F53" s="772"/>
      <c r="G53" s="770" t="str">
        <f>IF(ROUND('FC-10_DEUDAS'!Q43-'FC-10_DEUDAS'!R43-'FC-10_DEUDAS'!S43,2)=0,"Ok","Mal, revisa datos, fila inicial 43 en FC-10")</f>
        <v>Ok</v>
      </c>
      <c r="H53" s="767"/>
      <c r="J53" s="768"/>
      <c r="K53" s="768"/>
      <c r="L53" s="768">
        <f t="shared" si="7"/>
        <v>0</v>
      </c>
      <c r="M53" s="768">
        <f t="shared" si="3"/>
        <v>0</v>
      </c>
    </row>
    <row r="54" spans="2:13" s="294" customFormat="1" ht="30" customHeight="1">
      <c r="B54" s="764"/>
      <c r="C54" s="828" t="s">
        <v>973</v>
      </c>
      <c r="D54" s="1061"/>
      <c r="E54" s="1062"/>
      <c r="F54" s="1062"/>
      <c r="G54" s="770" t="str">
        <f>IF(ROUND('FC-10_DEUDAS'!Q75-'FC-10_DEUDAS'!R75-'FC-10_DEUDAS'!S75,2)=0,"Ok","Mal, revisa datos, fila inicial 75 en FC-10")</f>
        <v>Ok</v>
      </c>
      <c r="H54" s="767"/>
      <c r="J54" s="768"/>
      <c r="K54" s="768"/>
      <c r="L54" s="768"/>
      <c r="M54" s="768"/>
    </row>
    <row r="55" spans="2:13" s="294" customFormat="1" ht="30" customHeight="1">
      <c r="B55" s="764"/>
      <c r="C55" s="828" t="s">
        <v>974</v>
      </c>
      <c r="D55" s="1061"/>
      <c r="E55" s="1062"/>
      <c r="F55" s="1062"/>
      <c r="G55" s="770" t="str">
        <f>IF(ROUND('FC-10_DEUDAS'!Q107-'FC-10_DEUDAS'!R107-'FC-10_DEUDAS'!S107,2)=0,"Ok","Mal, revisa datos, fila inicial 107 en FC-10")</f>
        <v>Ok</v>
      </c>
      <c r="H55" s="767"/>
      <c r="J55" s="768"/>
      <c r="K55" s="768"/>
      <c r="L55" s="768"/>
      <c r="M55" s="768"/>
    </row>
    <row r="56" spans="2:13" s="294" customFormat="1" ht="30" customHeight="1">
      <c r="B56" s="764"/>
      <c r="C56" s="778" t="s">
        <v>716</v>
      </c>
      <c r="D56" s="779"/>
      <c r="E56" s="780"/>
      <c r="F56" s="780"/>
      <c r="G56" s="781" t="str">
        <f>IF(ROUND(-'FC-3_CPyG'!G30-'FC-13_PERSONAL'!F31,2)=0,"Ok","Mal, revísa dato en FC-3 CPyG y FC-13")</f>
        <v>Ok</v>
      </c>
      <c r="H56" s="767"/>
      <c r="J56" s="768"/>
      <c r="K56" s="768"/>
      <c r="L56" s="768">
        <f t="shared" si="7"/>
        <v>0</v>
      </c>
      <c r="M56" s="768">
        <f t="shared" si="3"/>
        <v>0</v>
      </c>
    </row>
    <row r="57" spans="2:13" ht="30" customHeight="1">
      <c r="B57" s="346"/>
      <c r="H57" s="347"/>
      <c r="J57" s="699"/>
      <c r="K57" s="699"/>
      <c r="L57" s="699"/>
      <c r="M57" s="699"/>
    </row>
    <row r="58" spans="2:13" ht="30" customHeight="1">
      <c r="B58" s="346"/>
      <c r="C58" s="874" t="s">
        <v>949</v>
      </c>
      <c r="D58" s="782"/>
      <c r="E58" s="783"/>
      <c r="F58" s="783"/>
      <c r="G58" s="784" t="str">
        <f>IF(ROUND('FC-3_CPyG'!G84-'_FC-90_DETALLE'!E166,2)=0,"Ok","Mal, revisa resultado en F-3 y FC-92")</f>
        <v>Ok</v>
      </c>
      <c r="H58" s="347"/>
      <c r="J58" s="699"/>
      <c r="K58" s="699"/>
      <c r="L58" s="699">
        <f t="shared" si="7"/>
        <v>0</v>
      </c>
      <c r="M58" s="699">
        <f t="shared" si="3"/>
        <v>0</v>
      </c>
    </row>
    <row r="59" spans="2:13" ht="23.1" customHeight="1" thickBot="1">
      <c r="B59" s="349"/>
      <c r="C59" s="350"/>
      <c r="D59" s="350"/>
      <c r="E59" s="350"/>
      <c r="F59" s="351"/>
      <c r="G59" s="350"/>
      <c r="H59" s="352"/>
    </row>
    <row r="60" spans="2:13" ht="23.1" customHeight="1">
      <c r="F60" s="353"/>
    </row>
    <row r="61" spans="2:13" s="38" customFormat="1" ht="12.75">
      <c r="C61" s="34" t="s">
        <v>72</v>
      </c>
      <c r="F61" s="39"/>
      <c r="G61" s="37"/>
    </row>
    <row r="62" spans="2:13" s="38" customFormat="1" ht="12.75">
      <c r="C62" s="34" t="s">
        <v>73</v>
      </c>
      <c r="F62" s="39"/>
    </row>
    <row r="63" spans="2:13" s="38" customFormat="1" ht="12.75">
      <c r="C63" s="34" t="s">
        <v>74</v>
      </c>
      <c r="F63" s="39"/>
    </row>
    <row r="64" spans="2:13" s="38" customFormat="1" ht="12.75">
      <c r="C64" s="34" t="s">
        <v>75</v>
      </c>
      <c r="F64" s="39"/>
    </row>
    <row r="65" spans="3:6" s="38" customFormat="1" ht="12.75">
      <c r="C65" s="34" t="s">
        <v>76</v>
      </c>
      <c r="F65" s="39"/>
    </row>
    <row r="66" spans="3:6" ht="23.1" customHeight="1">
      <c r="F66" s="353"/>
    </row>
    <row r="67" spans="3:6" ht="23.1" customHeight="1">
      <c r="F67" s="353"/>
    </row>
    <row r="68" spans="3:6" ht="23.1" customHeight="1">
      <c r="F68" s="353"/>
    </row>
    <row r="69" spans="3:6" ht="23.1" customHeight="1">
      <c r="F69" s="353"/>
    </row>
    <row r="70" spans="3:6" ht="23.1" customHeight="1">
      <c r="F70" s="353"/>
    </row>
    <row r="71" spans="3:6" ht="23.1" customHeight="1">
      <c r="F71" s="353"/>
    </row>
    <row r="72" spans="3:6" ht="23.1" customHeight="1">
      <c r="F72" s="353"/>
    </row>
  </sheetData>
  <sheetProtection password="C494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W41"/>
  <sheetViews>
    <sheetView workbookViewId="0">
      <selection activeCell="I37" sqref="I37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99.5546875" style="88" customWidth="1"/>
    <col min="5" max="7" width="17.6640625" style="89" customWidth="1"/>
    <col min="8" max="8" width="3.33203125" style="88" customWidth="1"/>
    <col min="9" max="16384" width="10.6640625" style="88"/>
  </cols>
  <sheetData>
    <row r="2" spans="1:23" ht="23.1" customHeight="1">
      <c r="D2" s="202" t="s">
        <v>374</v>
      </c>
    </row>
    <row r="3" spans="1:23" ht="23.1" customHeight="1">
      <c r="D3" s="202" t="s">
        <v>375</v>
      </c>
    </row>
    <row r="4" spans="1:23" ht="23.1" customHeight="1" thickBot="1">
      <c r="A4" s="88" t="s">
        <v>950</v>
      </c>
    </row>
    <row r="5" spans="1:23" ht="9" customHeight="1">
      <c r="B5" s="90"/>
      <c r="C5" s="91"/>
      <c r="D5" s="91"/>
      <c r="E5" s="92"/>
      <c r="F5" s="92"/>
      <c r="G5" s="92"/>
      <c r="H5" s="93"/>
      <c r="J5" s="411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3"/>
    </row>
    <row r="6" spans="1:23" ht="30" customHeight="1">
      <c r="B6" s="94"/>
      <c r="C6" s="59" t="s">
        <v>0</v>
      </c>
      <c r="G6" s="1110">
        <f>ejercicio</f>
        <v>2019</v>
      </c>
      <c r="H6" s="95"/>
      <c r="J6" s="414"/>
      <c r="K6" s="415" t="s">
        <v>689</v>
      </c>
      <c r="L6" s="415"/>
      <c r="M6" s="415"/>
      <c r="N6" s="415"/>
      <c r="O6" s="416"/>
      <c r="P6" s="416"/>
      <c r="Q6" s="416"/>
      <c r="R6" s="416"/>
      <c r="S6" s="416"/>
      <c r="T6" s="416"/>
      <c r="U6" s="416"/>
      <c r="V6" s="416"/>
      <c r="W6" s="417"/>
    </row>
    <row r="7" spans="1:23" ht="30" customHeight="1">
      <c r="B7" s="94"/>
      <c r="C7" s="59" t="s">
        <v>1</v>
      </c>
      <c r="G7" s="1110"/>
      <c r="H7" s="95"/>
      <c r="J7" s="414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7"/>
    </row>
    <row r="8" spans="1:23" ht="30" customHeight="1">
      <c r="B8" s="94"/>
      <c r="C8" s="96"/>
      <c r="G8" s="97"/>
      <c r="H8" s="95"/>
      <c r="J8" s="414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7"/>
    </row>
    <row r="9" spans="1:23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74"/>
      <c r="J9" s="414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7"/>
    </row>
    <row r="10" spans="1:23" ht="7.35" customHeight="1">
      <c r="B10" s="94"/>
      <c r="H10" s="95"/>
      <c r="J10" s="414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7"/>
    </row>
    <row r="11" spans="1:23" s="104" customFormat="1" ht="30" customHeight="1">
      <c r="B11" s="100"/>
      <c r="C11" s="101" t="s">
        <v>567</v>
      </c>
      <c r="D11" s="101"/>
      <c r="E11" s="102"/>
      <c r="F11" s="102"/>
      <c r="G11" s="102"/>
      <c r="H11" s="103"/>
      <c r="J11" s="414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7"/>
    </row>
    <row r="12" spans="1:23" s="104" customFormat="1" ht="30" customHeight="1">
      <c r="B12" s="100"/>
      <c r="C12" s="1128"/>
      <c r="D12" s="1128"/>
      <c r="E12" s="87"/>
      <c r="F12" s="87"/>
      <c r="G12" s="87"/>
      <c r="H12" s="103"/>
      <c r="J12" s="414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7"/>
    </row>
    <row r="13" spans="1:23" ht="29.1" customHeight="1">
      <c r="B13" s="105"/>
      <c r="C13" s="55" t="s">
        <v>568</v>
      </c>
      <c r="D13" s="141"/>
      <c r="E13" s="87"/>
      <c r="F13" s="87"/>
      <c r="G13" s="242"/>
      <c r="H13" s="95"/>
      <c r="J13" s="414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7"/>
    </row>
    <row r="14" spans="1:23" ht="9" customHeight="1">
      <c r="B14" s="105"/>
      <c r="C14" s="141"/>
      <c r="D14" s="141"/>
      <c r="E14" s="87"/>
      <c r="F14" s="87"/>
      <c r="G14" s="87"/>
      <c r="H14" s="95"/>
      <c r="J14" s="414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7"/>
    </row>
    <row r="15" spans="1:23" s="228" customFormat="1" ht="23.1" customHeight="1">
      <c r="B15" s="229"/>
      <c r="C15" s="183"/>
      <c r="D15" s="230"/>
      <c r="E15" s="183" t="s">
        <v>475</v>
      </c>
      <c r="F15" s="183" t="s">
        <v>570</v>
      </c>
      <c r="G15" s="183"/>
      <c r="H15" s="231"/>
      <c r="J15" s="414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7"/>
    </row>
    <row r="16" spans="1:23" s="228" customFormat="1" ht="24" customHeight="1">
      <c r="B16" s="229"/>
      <c r="C16" s="234" t="s">
        <v>440</v>
      </c>
      <c r="D16" s="235" t="s">
        <v>448</v>
      </c>
      <c r="E16" s="234" t="s">
        <v>569</v>
      </c>
      <c r="F16" s="234">
        <f>ejercicio</f>
        <v>2019</v>
      </c>
      <c r="G16" s="234" t="s">
        <v>571</v>
      </c>
      <c r="H16" s="231"/>
      <c r="J16" s="414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7"/>
    </row>
    <row r="17" spans="2:23" ht="23.1" customHeight="1">
      <c r="B17" s="105"/>
      <c r="C17" s="500"/>
      <c r="D17" s="497"/>
      <c r="E17" s="493"/>
      <c r="F17" s="493"/>
      <c r="G17" s="580"/>
      <c r="H17" s="95"/>
      <c r="J17" s="414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7"/>
    </row>
    <row r="18" spans="2:23" ht="23.1" customHeight="1">
      <c r="B18" s="105"/>
      <c r="C18" s="500"/>
      <c r="D18" s="497"/>
      <c r="E18" s="493"/>
      <c r="F18" s="493"/>
      <c r="G18" s="581"/>
      <c r="H18" s="95"/>
      <c r="J18" s="414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7"/>
    </row>
    <row r="19" spans="2:23" ht="23.1" customHeight="1">
      <c r="B19" s="105"/>
      <c r="C19" s="500"/>
      <c r="D19" s="497"/>
      <c r="E19" s="493"/>
      <c r="F19" s="493"/>
      <c r="G19" s="581"/>
      <c r="H19" s="95"/>
      <c r="J19" s="414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7"/>
    </row>
    <row r="20" spans="2:23" ht="23.1" customHeight="1">
      <c r="B20" s="105"/>
      <c r="C20" s="500"/>
      <c r="D20" s="497"/>
      <c r="E20" s="493"/>
      <c r="F20" s="493"/>
      <c r="G20" s="581"/>
      <c r="H20" s="95"/>
      <c r="J20" s="414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7"/>
    </row>
    <row r="21" spans="2:23" ht="23.1" customHeight="1">
      <c r="B21" s="105"/>
      <c r="C21" s="500"/>
      <c r="D21" s="497"/>
      <c r="E21" s="493"/>
      <c r="F21" s="493"/>
      <c r="G21" s="581"/>
      <c r="H21" s="95"/>
      <c r="J21" s="414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7"/>
    </row>
    <row r="22" spans="2:23" ht="23.1" customHeight="1">
      <c r="B22" s="105"/>
      <c r="C22" s="500"/>
      <c r="D22" s="497"/>
      <c r="E22" s="493"/>
      <c r="F22" s="493"/>
      <c r="G22" s="581"/>
      <c r="H22" s="95"/>
      <c r="J22" s="414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7"/>
    </row>
    <row r="23" spans="2:23" ht="23.1" customHeight="1">
      <c r="B23" s="105"/>
      <c r="C23" s="500"/>
      <c r="D23" s="497"/>
      <c r="E23" s="493"/>
      <c r="F23" s="493"/>
      <c r="G23" s="581"/>
      <c r="H23" s="95"/>
      <c r="J23" s="414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7"/>
    </row>
    <row r="24" spans="2:23" ht="23.1" customHeight="1">
      <c r="B24" s="105"/>
      <c r="C24" s="500"/>
      <c r="D24" s="497"/>
      <c r="E24" s="493"/>
      <c r="F24" s="493"/>
      <c r="G24" s="581"/>
      <c r="H24" s="95"/>
      <c r="J24" s="414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7"/>
    </row>
    <row r="25" spans="2:23" ht="23.1" customHeight="1">
      <c r="B25" s="105"/>
      <c r="C25" s="500"/>
      <c r="D25" s="497"/>
      <c r="E25" s="493"/>
      <c r="F25" s="493"/>
      <c r="G25" s="581"/>
      <c r="H25" s="95"/>
      <c r="J25" s="414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7"/>
    </row>
    <row r="26" spans="2:23" ht="23.1" customHeight="1">
      <c r="B26" s="105"/>
      <c r="C26" s="500"/>
      <c r="D26" s="497"/>
      <c r="E26" s="493"/>
      <c r="F26" s="493"/>
      <c r="G26" s="581"/>
      <c r="H26" s="95"/>
      <c r="J26" s="414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7"/>
    </row>
    <row r="27" spans="2:23" ht="23.1" customHeight="1">
      <c r="B27" s="105"/>
      <c r="C27" s="500"/>
      <c r="D27" s="497"/>
      <c r="E27" s="493"/>
      <c r="F27" s="493"/>
      <c r="G27" s="581"/>
      <c r="H27" s="95"/>
      <c r="J27" s="414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7"/>
    </row>
    <row r="28" spans="2:23" ht="23.1" customHeight="1">
      <c r="B28" s="105"/>
      <c r="C28" s="500"/>
      <c r="D28" s="497"/>
      <c r="E28" s="493"/>
      <c r="F28" s="493"/>
      <c r="G28" s="581"/>
      <c r="H28" s="95"/>
      <c r="J28" s="414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7"/>
    </row>
    <row r="29" spans="2:23" ht="23.1" customHeight="1">
      <c r="B29" s="105"/>
      <c r="C29" s="500"/>
      <c r="D29" s="497"/>
      <c r="E29" s="493"/>
      <c r="F29" s="493"/>
      <c r="G29" s="581"/>
      <c r="H29" s="95"/>
      <c r="J29" s="414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7"/>
    </row>
    <row r="30" spans="2:23" ht="23.1" customHeight="1">
      <c r="B30" s="105"/>
      <c r="C30" s="500"/>
      <c r="D30" s="497"/>
      <c r="E30" s="493"/>
      <c r="F30" s="493"/>
      <c r="G30" s="581"/>
      <c r="H30" s="95"/>
      <c r="J30" s="414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7"/>
    </row>
    <row r="31" spans="2:23" ht="23.1" customHeight="1">
      <c r="B31" s="105"/>
      <c r="C31" s="501"/>
      <c r="D31" s="498"/>
      <c r="E31" s="494"/>
      <c r="F31" s="494"/>
      <c r="G31" s="582"/>
      <c r="H31" s="95"/>
      <c r="J31" s="414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7"/>
    </row>
    <row r="32" spans="2:23" ht="23.1" customHeight="1">
      <c r="B32" s="105"/>
      <c r="C32" s="502"/>
      <c r="D32" s="499"/>
      <c r="E32" s="496"/>
      <c r="F32" s="496"/>
      <c r="G32" s="583"/>
      <c r="H32" s="95"/>
      <c r="J32" s="414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7"/>
    </row>
    <row r="33" spans="2:23" ht="23.1" customHeight="1" thickBot="1">
      <c r="B33" s="105"/>
      <c r="C33" s="202"/>
      <c r="D33" s="206" t="s">
        <v>398</v>
      </c>
      <c r="E33" s="161">
        <f>SUM(E17:E32)</f>
        <v>0</v>
      </c>
      <c r="F33" s="161">
        <f>SUM(F17:F32)</f>
        <v>0</v>
      </c>
      <c r="G33" s="87"/>
      <c r="H33" s="95"/>
      <c r="J33" s="414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7"/>
    </row>
    <row r="34" spans="2:23" ht="23.1" customHeight="1">
      <c r="B34" s="105"/>
      <c r="C34" s="202"/>
      <c r="D34" s="202"/>
      <c r="E34" s="203"/>
      <c r="F34" s="203"/>
      <c r="G34" s="87"/>
      <c r="H34" s="95"/>
      <c r="J34" s="414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7"/>
    </row>
    <row r="35" spans="2:23" ht="23.1" customHeight="1" thickBot="1">
      <c r="B35" s="108"/>
      <c r="C35" s="1116"/>
      <c r="D35" s="1116"/>
      <c r="E35" s="48"/>
      <c r="F35" s="48"/>
      <c r="G35" s="109"/>
      <c r="H35" s="110"/>
      <c r="J35" s="408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10"/>
    </row>
    <row r="36" spans="2:23" ht="23.1" customHeight="1">
      <c r="I36" s="88" t="s">
        <v>951</v>
      </c>
    </row>
    <row r="37" spans="2:23" ht="12.75">
      <c r="C37" s="111" t="s">
        <v>72</v>
      </c>
      <c r="G37" s="86" t="s">
        <v>516</v>
      </c>
    </row>
    <row r="38" spans="2:23" ht="12.75">
      <c r="C38" s="111" t="s">
        <v>73</v>
      </c>
    </row>
    <row r="39" spans="2:23" ht="12.75">
      <c r="C39" s="111" t="s">
        <v>74</v>
      </c>
    </row>
    <row r="40" spans="2:23" ht="12.75">
      <c r="C40" s="111" t="s">
        <v>75</v>
      </c>
    </row>
    <row r="41" spans="2:23" ht="12.75">
      <c r="C41" s="111" t="s">
        <v>76</v>
      </c>
    </row>
  </sheetData>
  <sheetProtection password="C354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W55"/>
  <sheetViews>
    <sheetView topLeftCell="A34" workbookViewId="0">
      <selection activeCell="F41" sqref="F41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33203125" style="88" customWidth="1"/>
    <col min="4" max="4" width="68" style="88" customWidth="1"/>
    <col min="5" max="5" width="17.6640625" style="89" customWidth="1"/>
    <col min="6" max="6" width="44.6640625" style="89" customWidth="1"/>
    <col min="7" max="7" width="10.6640625" style="89" customWidth="1"/>
    <col min="8" max="8" width="3.33203125" style="88" customWidth="1"/>
    <col min="9" max="16384" width="10.6640625" style="88"/>
  </cols>
  <sheetData>
    <row r="2" spans="1:23" ht="23.1" customHeight="1">
      <c r="D2" s="202" t="s">
        <v>374</v>
      </c>
    </row>
    <row r="3" spans="1:23" ht="23.1" customHeight="1">
      <c r="D3" s="202" t="s">
        <v>375</v>
      </c>
    </row>
    <row r="4" spans="1:23" ht="23.1" customHeight="1" thickBot="1">
      <c r="A4" s="88" t="s">
        <v>950</v>
      </c>
    </row>
    <row r="5" spans="1:23" ht="9" customHeight="1">
      <c r="B5" s="90"/>
      <c r="C5" s="91"/>
      <c r="D5" s="91"/>
      <c r="E5" s="92"/>
      <c r="F5" s="92"/>
      <c r="G5" s="92"/>
      <c r="H5" s="93"/>
      <c r="J5" s="411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3"/>
    </row>
    <row r="6" spans="1:23" ht="30" customHeight="1">
      <c r="B6" s="94"/>
      <c r="C6" s="59" t="s">
        <v>0</v>
      </c>
      <c r="G6" s="1110">
        <f>ejercicio</f>
        <v>2019</v>
      </c>
      <c r="H6" s="95"/>
      <c r="J6" s="414"/>
      <c r="K6" s="415" t="s">
        <v>689</v>
      </c>
      <c r="L6" s="415"/>
      <c r="M6" s="415"/>
      <c r="N6" s="415"/>
      <c r="O6" s="416"/>
      <c r="P6" s="416"/>
      <c r="Q6" s="416"/>
      <c r="R6" s="416"/>
      <c r="S6" s="416"/>
      <c r="T6" s="416"/>
      <c r="U6" s="416"/>
      <c r="V6" s="416"/>
      <c r="W6" s="417"/>
    </row>
    <row r="7" spans="1:23" ht="30" customHeight="1">
      <c r="B7" s="94"/>
      <c r="C7" s="59" t="s">
        <v>1</v>
      </c>
      <c r="G7" s="1110"/>
      <c r="H7" s="95"/>
      <c r="J7" s="414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7"/>
    </row>
    <row r="8" spans="1:23" ht="30" customHeight="1">
      <c r="B8" s="94"/>
      <c r="C8" s="96"/>
      <c r="G8" s="97"/>
      <c r="H8" s="95"/>
      <c r="J8" s="414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7"/>
    </row>
    <row r="9" spans="1:23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74"/>
      <c r="J9" s="414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7"/>
    </row>
    <row r="10" spans="1:23" ht="7.35" customHeight="1">
      <c r="B10" s="94"/>
      <c r="H10" s="95"/>
      <c r="J10" s="414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7"/>
    </row>
    <row r="11" spans="1:23" s="104" customFormat="1" ht="30" customHeight="1">
      <c r="B11" s="100"/>
      <c r="C11" s="101" t="s">
        <v>576</v>
      </c>
      <c r="D11" s="101"/>
      <c r="E11" s="102"/>
      <c r="F11" s="102"/>
      <c r="G11" s="102"/>
      <c r="H11" s="103"/>
      <c r="J11" s="414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7"/>
    </row>
    <row r="12" spans="1:23" s="104" customFormat="1" ht="30" customHeight="1">
      <c r="B12" s="100"/>
      <c r="C12" s="1128"/>
      <c r="D12" s="1128"/>
      <c r="E12" s="87"/>
      <c r="F12" s="87"/>
      <c r="G12" s="87"/>
      <c r="H12" s="103"/>
      <c r="J12" s="414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7"/>
    </row>
    <row r="13" spans="1:23" ht="29.1" customHeight="1">
      <c r="B13" s="105"/>
      <c r="C13" s="55"/>
      <c r="D13" s="141"/>
      <c r="E13" s="87"/>
      <c r="F13" s="87"/>
      <c r="G13" s="242"/>
      <c r="H13" s="95"/>
      <c r="J13" s="414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7"/>
    </row>
    <row r="14" spans="1:23" ht="9" customHeight="1">
      <c r="B14" s="105"/>
      <c r="C14" s="141"/>
      <c r="D14" s="141"/>
      <c r="E14" s="87"/>
      <c r="F14" s="87"/>
      <c r="G14" s="87"/>
      <c r="H14" s="95"/>
      <c r="J14" s="414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7"/>
    </row>
    <row r="15" spans="1:23" s="228" customFormat="1" ht="23.1" customHeight="1">
      <c r="B15" s="229"/>
      <c r="C15" s="245"/>
      <c r="D15" s="248"/>
      <c r="E15" s="183" t="s">
        <v>572</v>
      </c>
      <c r="F15" s="245"/>
      <c r="G15" s="248"/>
      <c r="H15" s="231"/>
      <c r="J15" s="414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7"/>
    </row>
    <row r="16" spans="1:23" s="228" customFormat="1" ht="23.1" customHeight="1">
      <c r="B16" s="229"/>
      <c r="C16" s="246"/>
      <c r="D16" s="249"/>
      <c r="E16" s="232" t="s">
        <v>573</v>
      </c>
      <c r="F16" s="246"/>
      <c r="G16" s="249"/>
      <c r="H16" s="231"/>
      <c r="J16" s="414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7"/>
    </row>
    <row r="17" spans="2:23" s="228" customFormat="1" ht="23.1" customHeight="1">
      <c r="B17" s="229"/>
      <c r="C17" s="246"/>
      <c r="D17" s="249"/>
      <c r="E17" s="232" t="s">
        <v>574</v>
      </c>
      <c r="F17" s="246"/>
      <c r="G17" s="249"/>
      <c r="H17" s="231"/>
      <c r="J17" s="414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7"/>
    </row>
    <row r="18" spans="2:23" s="228" customFormat="1" ht="24" customHeight="1">
      <c r="B18" s="229"/>
      <c r="C18" s="1214" t="s">
        <v>448</v>
      </c>
      <c r="D18" s="1215"/>
      <c r="E18" s="276">
        <f>ejercicio</f>
        <v>2019</v>
      </c>
      <c r="F18" s="247" t="s">
        <v>575</v>
      </c>
      <c r="G18" s="250"/>
      <c r="H18" s="231"/>
      <c r="J18" s="414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7"/>
    </row>
    <row r="19" spans="2:23" ht="9" customHeight="1">
      <c r="B19" s="105"/>
      <c r="C19" s="55"/>
      <c r="D19" s="141"/>
      <c r="E19" s="87"/>
      <c r="F19" s="87"/>
      <c r="G19" s="242"/>
      <c r="H19" s="95"/>
      <c r="J19" s="414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7"/>
    </row>
    <row r="20" spans="2:23" s="96" customFormat="1" ht="23.1" customHeight="1" thickBot="1">
      <c r="B20" s="151"/>
      <c r="C20" s="1243" t="s">
        <v>577</v>
      </c>
      <c r="D20" s="1244"/>
      <c r="E20" s="257">
        <f>SUM(E21:E29)</f>
        <v>3814275.9299999997</v>
      </c>
      <c r="F20" s="1250"/>
      <c r="G20" s="1251"/>
      <c r="H20" s="114"/>
      <c r="J20" s="414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7"/>
    </row>
    <row r="21" spans="2:23" ht="23.1" customHeight="1">
      <c r="B21" s="105"/>
      <c r="C21" s="168" t="s">
        <v>578</v>
      </c>
      <c r="D21" s="251"/>
      <c r="E21" s="180">
        <f>+'FC-3_CPyG'!G16</f>
        <v>200000</v>
      </c>
      <c r="F21" s="1252"/>
      <c r="G21" s="1253"/>
      <c r="H21" s="95"/>
      <c r="J21" s="414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7"/>
    </row>
    <row r="22" spans="2:23" ht="23.1" customHeight="1">
      <c r="B22" s="105"/>
      <c r="C22" s="168" t="s">
        <v>579</v>
      </c>
      <c r="D22" s="251"/>
      <c r="E22" s="180">
        <f>+'FC-3_CPyG'!G21</f>
        <v>0</v>
      </c>
      <c r="F22" s="1254"/>
      <c r="G22" s="1255"/>
      <c r="H22" s="95"/>
      <c r="J22" s="414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7"/>
    </row>
    <row r="23" spans="2:23" ht="23.1" customHeight="1">
      <c r="B23" s="105"/>
      <c r="C23" s="168" t="s">
        <v>580</v>
      </c>
      <c r="D23" s="251"/>
      <c r="E23" s="180">
        <f>+'FC-3_CPyG'!G28</f>
        <v>215260</v>
      </c>
      <c r="F23" s="1254"/>
      <c r="G23" s="1255"/>
      <c r="H23" s="95"/>
      <c r="J23" s="414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7"/>
    </row>
    <row r="24" spans="2:23" ht="23.1" customHeight="1">
      <c r="B24" s="105"/>
      <c r="C24" s="168" t="s">
        <v>581</v>
      </c>
      <c r="D24" s="251"/>
      <c r="E24" s="180">
        <f>+'FC-3_CPyG'!G29</f>
        <v>1824883.75</v>
      </c>
      <c r="F24" s="1254"/>
      <c r="G24" s="1255"/>
      <c r="H24" s="95"/>
      <c r="J24" s="414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7"/>
    </row>
    <row r="25" spans="2:23" ht="23.1" customHeight="1">
      <c r="B25" s="105"/>
      <c r="C25" s="168" t="s">
        <v>582</v>
      </c>
      <c r="D25" s="251"/>
      <c r="E25" s="180">
        <f>+'FC-3_CPyG'!G55+'FC-3_CPyG'!G70</f>
        <v>0</v>
      </c>
      <c r="F25" s="1254"/>
      <c r="G25" s="1255"/>
      <c r="H25" s="95"/>
      <c r="J25" s="414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7"/>
    </row>
    <row r="26" spans="2:23" ht="23.1" customHeight="1">
      <c r="B26" s="105"/>
      <c r="C26" s="168" t="s">
        <v>583</v>
      </c>
      <c r="D26" s="251"/>
      <c r="E26" s="180">
        <f>+'FC-3_CPyG'!G52</f>
        <v>0</v>
      </c>
      <c r="F26" s="1254"/>
      <c r="G26" s="1255"/>
      <c r="H26" s="95"/>
      <c r="J26" s="414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7"/>
    </row>
    <row r="27" spans="2:23" ht="23.1" customHeight="1">
      <c r="B27" s="105"/>
      <c r="C27" s="168" t="s">
        <v>584</v>
      </c>
      <c r="D27" s="251"/>
      <c r="E27" s="180">
        <f>+'FC-3_1_INF_ADIC_CPyG'!G47</f>
        <v>0</v>
      </c>
      <c r="F27" s="1254"/>
      <c r="G27" s="1255"/>
      <c r="H27" s="95"/>
      <c r="J27" s="414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7"/>
    </row>
    <row r="28" spans="2:23" ht="23.1" customHeight="1">
      <c r="B28" s="105"/>
      <c r="C28" s="754" t="s">
        <v>787</v>
      </c>
      <c r="D28" s="251"/>
      <c r="E28" s="180">
        <f>+'FC-9_TRANS_SUBV'!H67+'FC-9_TRANS_SUBV'!H81</f>
        <v>1380732.18</v>
      </c>
      <c r="F28" s="1254"/>
      <c r="G28" s="1255"/>
      <c r="H28" s="95"/>
      <c r="J28" s="414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7"/>
    </row>
    <row r="29" spans="2:23" ht="23.1" customHeight="1">
      <c r="B29" s="105"/>
      <c r="C29" s="146" t="s">
        <v>585</v>
      </c>
      <c r="D29" s="252"/>
      <c r="E29" s="160">
        <f>+'FC-9_TRANS_SUBV'!I31</f>
        <v>193400</v>
      </c>
      <c r="F29" s="1256"/>
      <c r="G29" s="1257"/>
      <c r="H29" s="95"/>
      <c r="J29" s="414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7"/>
    </row>
    <row r="30" spans="2:23" ht="9" customHeight="1">
      <c r="B30" s="105"/>
      <c r="C30" s="55"/>
      <c r="D30" s="141"/>
      <c r="E30" s="87"/>
      <c r="F30" s="87"/>
      <c r="G30" s="242"/>
      <c r="H30" s="95"/>
      <c r="J30" s="414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7"/>
    </row>
    <row r="31" spans="2:23" ht="23.1" customHeight="1" thickBot="1">
      <c r="B31" s="105"/>
      <c r="C31" s="1243" t="s">
        <v>586</v>
      </c>
      <c r="D31" s="1244"/>
      <c r="E31" s="257">
        <f>SUM(E32:E43)</f>
        <v>-3790275.9299999997</v>
      </c>
      <c r="F31" s="1250"/>
      <c r="G31" s="1251"/>
      <c r="H31" s="95"/>
      <c r="J31" s="414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7"/>
    </row>
    <row r="32" spans="2:23" ht="23.1" customHeight="1">
      <c r="B32" s="105"/>
      <c r="C32" s="168" t="s">
        <v>95</v>
      </c>
      <c r="D32" s="251"/>
      <c r="E32" s="180">
        <f>+'FC-3_CPyG'!G22</f>
        <v>0</v>
      </c>
      <c r="F32" s="1254"/>
      <c r="G32" s="1255"/>
      <c r="H32" s="95"/>
      <c r="J32" s="414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7"/>
    </row>
    <row r="33" spans="2:23" ht="23.1" customHeight="1">
      <c r="B33" s="105"/>
      <c r="C33" s="168" t="s">
        <v>587</v>
      </c>
      <c r="D33" s="251"/>
      <c r="E33" s="180">
        <f>+'FC-3_CPyG'!G30</f>
        <v>-648064.86</v>
      </c>
      <c r="F33" s="519"/>
      <c r="G33" s="479"/>
      <c r="H33" s="95"/>
      <c r="J33" s="414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7"/>
    </row>
    <row r="34" spans="2:23" ht="23.1" customHeight="1">
      <c r="B34" s="105"/>
      <c r="C34" s="168" t="s">
        <v>110</v>
      </c>
      <c r="D34" s="251"/>
      <c r="E34" s="180">
        <f>+'FC-3_CPyG'!G34-'FC-3_CPyG'!G36</f>
        <v>-2935811.07</v>
      </c>
      <c r="F34" s="519"/>
      <c r="G34" s="479"/>
      <c r="H34" s="95"/>
      <c r="J34" s="414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7"/>
    </row>
    <row r="35" spans="2:23" ht="23.1" customHeight="1">
      <c r="B35" s="105"/>
      <c r="C35" s="168" t="s">
        <v>588</v>
      </c>
      <c r="D35" s="251"/>
      <c r="E35" s="180">
        <f>+'FC-3_CPyG'!G59+'FC-3_CPyG'!G63+'FC-3_CPyG'!G66+'FC-3_CPyG'!G67</f>
        <v>0</v>
      </c>
      <c r="F35" s="519"/>
      <c r="G35" s="479"/>
      <c r="H35" s="95"/>
      <c r="J35" s="414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7"/>
    </row>
    <row r="36" spans="2:23" ht="23.1" customHeight="1">
      <c r="B36" s="105"/>
      <c r="C36" s="168" t="s">
        <v>589</v>
      </c>
      <c r="D36" s="251"/>
      <c r="E36" s="180">
        <f>+'FC-3_CPyG'!G77</f>
        <v>0</v>
      </c>
      <c r="F36" s="519"/>
      <c r="G36" s="479"/>
      <c r="H36" s="95"/>
      <c r="J36" s="414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3.1" customHeight="1">
      <c r="B37" s="105"/>
      <c r="C37" s="168" t="s">
        <v>590</v>
      </c>
      <c r="D37" s="251"/>
      <c r="E37" s="180">
        <f>+'FC-3_CPyG'!G36</f>
        <v>-13000</v>
      </c>
      <c r="F37" s="519"/>
      <c r="G37" s="479"/>
      <c r="H37" s="95"/>
      <c r="J37" s="414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3.1" customHeight="1">
      <c r="B38" s="105"/>
      <c r="C38" s="168" t="s">
        <v>591</v>
      </c>
      <c r="D38" s="251"/>
      <c r="E38" s="180">
        <f>+'FC-3_1_INF_ADIC_CPyG'!G55</f>
        <v>0</v>
      </c>
      <c r="F38" s="519"/>
      <c r="G38" s="479"/>
      <c r="H38" s="95"/>
      <c r="J38" s="414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3.1" customHeight="1">
      <c r="B39" s="105"/>
      <c r="C39" s="168" t="s">
        <v>592</v>
      </c>
      <c r="D39" s="251"/>
      <c r="E39" s="180">
        <f>-'FC-7_INF'!F31-'FC-7_INF'!H31-'FC-7_INF'!K31-'FC-7_INF'!F33-'FC-7_INF'!H33-'FC-7_INF'!K33</f>
        <v>-193400</v>
      </c>
      <c r="F39" s="519"/>
      <c r="G39" s="479"/>
      <c r="H39" s="95"/>
      <c r="J39" s="414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3.1" customHeight="1">
      <c r="B40" s="105"/>
      <c r="C40" s="585" t="s">
        <v>593</v>
      </c>
      <c r="D40" s="251"/>
      <c r="E40" s="180">
        <f>+'FC-3_CPyG'!G20</f>
        <v>0</v>
      </c>
      <c r="F40" s="519"/>
      <c r="G40" s="479"/>
      <c r="H40" s="95"/>
      <c r="J40" s="414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3.1" customHeight="1">
      <c r="B41" s="105"/>
      <c r="C41" s="168" t="s">
        <v>594</v>
      </c>
      <c r="D41" s="251"/>
      <c r="E41" s="493"/>
      <c r="F41" s="1092" t="s">
        <v>1020</v>
      </c>
      <c r="G41" s="479"/>
      <c r="H41" s="95"/>
      <c r="J41" s="414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3.1" customHeight="1">
      <c r="B42" s="105"/>
      <c r="C42" s="168" t="s">
        <v>595</v>
      </c>
      <c r="D42" s="251"/>
      <c r="E42" s="493"/>
      <c r="F42" s="1254" t="s">
        <v>1020</v>
      </c>
      <c r="G42" s="1255" t="s">
        <v>1020</v>
      </c>
      <c r="H42" s="95"/>
      <c r="J42" s="414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3.1" customHeight="1">
      <c r="B43" s="105"/>
      <c r="C43" s="146" t="s">
        <v>596</v>
      </c>
      <c r="D43" s="252"/>
      <c r="E43" s="496"/>
      <c r="F43" s="1256" t="s">
        <v>1020</v>
      </c>
      <c r="G43" s="1257" t="s">
        <v>1020</v>
      </c>
      <c r="H43" s="95"/>
      <c r="J43" s="414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9" customHeight="1">
      <c r="B44" s="105"/>
      <c r="C44" s="55"/>
      <c r="D44" s="141"/>
      <c r="E44" s="87"/>
      <c r="F44" s="87"/>
      <c r="G44" s="242"/>
      <c r="H44" s="95"/>
      <c r="J44" s="414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3.1" customHeight="1" thickBot="1">
      <c r="B45" s="105"/>
      <c r="C45" s="148" t="s">
        <v>597</v>
      </c>
      <c r="D45" s="278"/>
      <c r="E45" s="161">
        <f>+E20+E31</f>
        <v>24000</v>
      </c>
      <c r="F45" s="87"/>
      <c r="G45" s="87"/>
      <c r="H45" s="95"/>
      <c r="J45" s="414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3.1" customHeight="1">
      <c r="B46" s="105"/>
      <c r="C46" s="202"/>
      <c r="D46" s="202"/>
      <c r="E46" s="203"/>
      <c r="F46" s="203"/>
      <c r="G46" s="87"/>
      <c r="H46" s="95"/>
      <c r="J46" s="414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3.1" customHeight="1">
      <c r="B47" s="105"/>
      <c r="C47" s="157" t="s">
        <v>409</v>
      </c>
      <c r="D47" s="202"/>
      <c r="E47" s="203"/>
      <c r="F47" s="203"/>
      <c r="G47" s="87"/>
      <c r="H47" s="95"/>
      <c r="J47" s="414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3.1" customHeight="1">
      <c r="B48" s="105"/>
      <c r="C48" s="155" t="s">
        <v>719</v>
      </c>
      <c r="D48" s="202"/>
      <c r="E48" s="203"/>
      <c r="F48" s="203"/>
      <c r="G48" s="87"/>
      <c r="H48" s="95"/>
      <c r="J48" s="414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3.1" customHeight="1" thickBot="1">
      <c r="B49" s="108"/>
      <c r="C49" s="1116"/>
      <c r="D49" s="1116"/>
      <c r="E49" s="48"/>
      <c r="F49" s="48"/>
      <c r="G49" s="109"/>
      <c r="H49" s="110"/>
      <c r="J49" s="408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10"/>
    </row>
    <row r="50" spans="2:23" ht="23.1" customHeight="1">
      <c r="I50" s="88" t="s">
        <v>951</v>
      </c>
    </row>
    <row r="51" spans="2:23" ht="12.75">
      <c r="C51" s="111" t="s">
        <v>72</v>
      </c>
      <c r="G51" s="86" t="s">
        <v>63</v>
      </c>
    </row>
    <row r="52" spans="2:23" ht="12.75">
      <c r="C52" s="111" t="s">
        <v>73</v>
      </c>
    </row>
    <row r="53" spans="2:23" ht="12.75">
      <c r="C53" s="111" t="s">
        <v>74</v>
      </c>
    </row>
    <row r="54" spans="2:23" ht="12.75">
      <c r="C54" s="111" t="s">
        <v>75</v>
      </c>
    </row>
    <row r="55" spans="2:23" ht="12.75">
      <c r="C55" s="111" t="s">
        <v>76</v>
      </c>
    </row>
  </sheetData>
  <sheetProtection password="C494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V46"/>
  <sheetViews>
    <sheetView workbookViewId="0">
      <selection activeCell="E25" sqref="E25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33203125" style="88" customWidth="1"/>
    <col min="4" max="4" width="68" style="88" customWidth="1"/>
    <col min="5" max="5" width="17.6640625" style="89" customWidth="1"/>
    <col min="6" max="6" width="12.33203125" style="89" customWidth="1"/>
    <col min="7" max="7" width="3.33203125" style="88" customWidth="1"/>
    <col min="8" max="16384" width="10.6640625" style="88"/>
  </cols>
  <sheetData>
    <row r="2" spans="1:22" ht="23.1" customHeight="1">
      <c r="D2" s="202" t="s">
        <v>374</v>
      </c>
    </row>
    <row r="3" spans="1:22" ht="23.1" customHeight="1">
      <c r="D3" s="202" t="s">
        <v>375</v>
      </c>
    </row>
    <row r="4" spans="1:22" ht="23.1" customHeight="1" thickBot="1">
      <c r="A4" s="88" t="s">
        <v>950</v>
      </c>
    </row>
    <row r="5" spans="1:22" ht="9" customHeight="1">
      <c r="B5" s="90"/>
      <c r="C5" s="91"/>
      <c r="D5" s="91"/>
      <c r="E5" s="92"/>
      <c r="F5" s="92"/>
      <c r="G5" s="93"/>
      <c r="I5" s="411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3"/>
    </row>
    <row r="6" spans="1:22" ht="30" customHeight="1">
      <c r="B6" s="94"/>
      <c r="C6" s="59" t="s">
        <v>0</v>
      </c>
      <c r="F6" s="1110">
        <f>ejercicio</f>
        <v>2019</v>
      </c>
      <c r="G6" s="95"/>
      <c r="I6" s="414"/>
      <c r="J6" s="415" t="s">
        <v>689</v>
      </c>
      <c r="K6" s="415"/>
      <c r="L6" s="415"/>
      <c r="M6" s="415"/>
      <c r="N6" s="416"/>
      <c r="O6" s="416"/>
      <c r="P6" s="416"/>
      <c r="Q6" s="416"/>
      <c r="R6" s="416"/>
      <c r="S6" s="416"/>
      <c r="T6" s="416"/>
      <c r="U6" s="416"/>
      <c r="V6" s="417"/>
    </row>
    <row r="7" spans="1:22" ht="30" customHeight="1">
      <c r="B7" s="94"/>
      <c r="C7" s="59" t="s">
        <v>1</v>
      </c>
      <c r="F7" s="1110"/>
      <c r="G7" s="95"/>
      <c r="I7" s="414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7"/>
    </row>
    <row r="8" spans="1:22" ht="30" customHeight="1">
      <c r="B8" s="94"/>
      <c r="C8" s="96"/>
      <c r="F8" s="97"/>
      <c r="G8" s="95"/>
      <c r="I8" s="414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7"/>
    </row>
    <row r="9" spans="1:22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74"/>
      <c r="I9" s="414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7"/>
    </row>
    <row r="10" spans="1:22" ht="7.35" customHeight="1">
      <c r="B10" s="94"/>
      <c r="G10" s="95"/>
      <c r="I10" s="414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7"/>
    </row>
    <row r="11" spans="1:22" s="104" customFormat="1" ht="30" customHeight="1">
      <c r="B11" s="100"/>
      <c r="C11" s="101" t="s">
        <v>598</v>
      </c>
      <c r="D11" s="101"/>
      <c r="E11" s="102"/>
      <c r="F11" s="102"/>
      <c r="G11" s="103"/>
      <c r="I11" s="414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7"/>
    </row>
    <row r="12" spans="1:22" s="104" customFormat="1" ht="30" customHeight="1">
      <c r="B12" s="100"/>
      <c r="C12" s="1128"/>
      <c r="D12" s="1128"/>
      <c r="E12" s="87"/>
      <c r="F12" s="87"/>
      <c r="G12" s="103"/>
      <c r="I12" s="414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7"/>
    </row>
    <row r="13" spans="1:22" ht="9" customHeight="1">
      <c r="B13" s="105"/>
      <c r="C13" s="141"/>
      <c r="D13" s="141"/>
      <c r="E13" s="87"/>
      <c r="F13" s="87"/>
      <c r="G13" s="95"/>
      <c r="I13" s="414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7"/>
    </row>
    <row r="14" spans="1:22" s="202" customFormat="1" ht="24" customHeight="1">
      <c r="B14" s="236"/>
      <c r="C14" s="1180" t="s">
        <v>448</v>
      </c>
      <c r="D14" s="1182"/>
      <c r="E14" s="254" t="s">
        <v>475</v>
      </c>
      <c r="F14" s="266" t="s">
        <v>599</v>
      </c>
      <c r="G14" s="238"/>
      <c r="I14" s="414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7"/>
    </row>
    <row r="15" spans="1:22" ht="9" customHeight="1">
      <c r="B15" s="105"/>
      <c r="C15" s="55"/>
      <c r="D15" s="141"/>
      <c r="E15" s="87"/>
      <c r="F15" s="242"/>
      <c r="G15" s="95"/>
      <c r="I15" s="414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7"/>
    </row>
    <row r="16" spans="1:22" s="59" customFormat="1" ht="23.1" customHeight="1">
      <c r="B16" s="280"/>
      <c r="C16" s="1258" t="s">
        <v>600</v>
      </c>
      <c r="D16" s="1259"/>
      <c r="E16" s="282">
        <f>SUM(E17:E19)</f>
        <v>0</v>
      </c>
      <c r="F16" s="285">
        <f>E16/$E$33</f>
        <v>0</v>
      </c>
      <c r="G16" s="281"/>
      <c r="I16" s="414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7"/>
    </row>
    <row r="17" spans="2:22" s="175" customFormat="1" ht="23.1" customHeight="1">
      <c r="B17" s="173"/>
      <c r="C17" s="179" t="s">
        <v>601</v>
      </c>
      <c r="D17" s="251" t="s">
        <v>604</v>
      </c>
      <c r="E17" s="493">
        <f>+'FC-3_1_INF_ADIC_CPyG'!K16+'FC-3_1_INF_ADIC_CPyG'!K19</f>
        <v>0</v>
      </c>
      <c r="F17" s="286">
        <f t="shared" ref="F17:F19" si="0">E17/$E$33</f>
        <v>0</v>
      </c>
      <c r="G17" s="174"/>
      <c r="I17" s="414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7"/>
    </row>
    <row r="18" spans="2:22" s="175" customFormat="1" ht="23.1" customHeight="1">
      <c r="B18" s="173"/>
      <c r="C18" s="179" t="s">
        <v>602</v>
      </c>
      <c r="D18" s="251" t="s">
        <v>605</v>
      </c>
      <c r="E18" s="493">
        <f>+'FC-3_1_INF_ADIC_CPyG'!K31</f>
        <v>0</v>
      </c>
      <c r="F18" s="287">
        <f t="shared" si="0"/>
        <v>0</v>
      </c>
      <c r="G18" s="174"/>
      <c r="I18" s="414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7"/>
    </row>
    <row r="19" spans="2:22" s="175" customFormat="1" ht="23.1" customHeight="1">
      <c r="B19" s="173"/>
      <c r="C19" s="267" t="s">
        <v>603</v>
      </c>
      <c r="D19" s="252" t="s">
        <v>606</v>
      </c>
      <c r="E19" s="496"/>
      <c r="F19" s="288">
        <f t="shared" si="0"/>
        <v>0</v>
      </c>
      <c r="G19" s="174"/>
      <c r="I19" s="414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7"/>
    </row>
    <row r="20" spans="2:22" s="175" customFormat="1" ht="9" customHeight="1">
      <c r="B20" s="173"/>
      <c r="C20" s="19"/>
      <c r="D20" s="141"/>
      <c r="E20" s="137"/>
      <c r="F20" s="289"/>
      <c r="G20" s="174"/>
      <c r="I20" s="414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7"/>
    </row>
    <row r="21" spans="2:22" s="175" customFormat="1" ht="23.1" customHeight="1">
      <c r="B21" s="173"/>
      <c r="C21" s="1258" t="s">
        <v>607</v>
      </c>
      <c r="D21" s="1259"/>
      <c r="E21" s="584">
        <f>+'FC-3_1_INF_ADIC_CPyG'!K40</f>
        <v>200000</v>
      </c>
      <c r="F21" s="290">
        <f>E21/$E$33</f>
        <v>5.872652821423701E-2</v>
      </c>
      <c r="G21" s="174"/>
      <c r="I21" s="414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7"/>
    </row>
    <row r="22" spans="2:22" s="175" customFormat="1" ht="9" customHeight="1">
      <c r="B22" s="173"/>
      <c r="C22" s="19"/>
      <c r="D22" s="141"/>
      <c r="E22" s="137"/>
      <c r="F22" s="289"/>
      <c r="G22" s="174"/>
      <c r="I22" s="414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7"/>
    </row>
    <row r="23" spans="2:22" s="59" customFormat="1" ht="23.1" customHeight="1">
      <c r="B23" s="280"/>
      <c r="C23" s="1258" t="s">
        <v>608</v>
      </c>
      <c r="D23" s="1259"/>
      <c r="E23" s="282">
        <f>SUM(E24:E26)</f>
        <v>3205615.9299999997</v>
      </c>
      <c r="F23" s="290">
        <f t="shared" ref="F23:F26" si="1">E23/$E$33</f>
        <v>0.94127347178576304</v>
      </c>
      <c r="G23" s="281"/>
      <c r="I23" s="414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7"/>
    </row>
    <row r="24" spans="2:22" s="175" customFormat="1" ht="23.1" customHeight="1">
      <c r="B24" s="173"/>
      <c r="C24" s="179" t="s">
        <v>601</v>
      </c>
      <c r="D24" s="251" t="s">
        <v>609</v>
      </c>
      <c r="E24" s="493">
        <f>'FC-9_TRANS_SUBV'!H52+'FC-9_TRANS_SUBV'!H67-E25</f>
        <v>3205615.9299999997</v>
      </c>
      <c r="F24" s="286">
        <f t="shared" si="1"/>
        <v>0.94127347178576304</v>
      </c>
      <c r="G24" s="174"/>
      <c r="I24" s="414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7"/>
    </row>
    <row r="25" spans="2:22" s="175" customFormat="1" ht="23.1" customHeight="1">
      <c r="B25" s="173"/>
      <c r="C25" s="179" t="s">
        <v>602</v>
      </c>
      <c r="D25" s="251" t="s">
        <v>611</v>
      </c>
      <c r="E25" s="493">
        <f>+'FC-3_1_INF_ADIC_CPyG'!G76+'FC-3_1_INF_ADIC_CPyG'!G77+'FC-3_1_INF_ADIC_CPyG'!G78+'FC-3_1_INF_ADIC_CPyG'!G81</f>
        <v>0</v>
      </c>
      <c r="F25" s="287">
        <f t="shared" si="1"/>
        <v>0</v>
      </c>
      <c r="G25" s="174"/>
      <c r="I25" s="414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7"/>
    </row>
    <row r="26" spans="2:22" s="175" customFormat="1" ht="23.1" customHeight="1">
      <c r="B26" s="173"/>
      <c r="C26" s="267" t="s">
        <v>603</v>
      </c>
      <c r="D26" s="252" t="s">
        <v>610</v>
      </c>
      <c r="E26" s="496">
        <f>+'FC-3_1_INF_ADIC_CPyG'!G80</f>
        <v>0</v>
      </c>
      <c r="F26" s="288">
        <f t="shared" si="1"/>
        <v>0</v>
      </c>
      <c r="G26" s="174"/>
      <c r="I26" s="414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7"/>
    </row>
    <row r="27" spans="2:22" s="175" customFormat="1" ht="9" customHeight="1">
      <c r="B27" s="173"/>
      <c r="C27" s="19"/>
      <c r="D27" s="141"/>
      <c r="E27" s="137"/>
      <c r="F27" s="289"/>
      <c r="G27" s="174"/>
      <c r="I27" s="414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7"/>
    </row>
    <row r="28" spans="2:22" s="59" customFormat="1" ht="23.1" customHeight="1">
      <c r="B28" s="280"/>
      <c r="C28" s="1258" t="s">
        <v>612</v>
      </c>
      <c r="D28" s="1259"/>
      <c r="E28" s="282">
        <f>SUM(E29:E31)</f>
        <v>0</v>
      </c>
      <c r="F28" s="290">
        <f t="shared" ref="F28:F31" si="2">E28/$E$33</f>
        <v>0</v>
      </c>
      <c r="G28" s="281"/>
      <c r="I28" s="414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7"/>
    </row>
    <row r="29" spans="2:22" s="175" customFormat="1" ht="23.1" customHeight="1">
      <c r="B29" s="173"/>
      <c r="C29" s="179" t="s">
        <v>601</v>
      </c>
      <c r="D29" s="251"/>
      <c r="E29" s="493"/>
      <c r="F29" s="286">
        <f t="shared" si="2"/>
        <v>0</v>
      </c>
      <c r="G29" s="174"/>
      <c r="I29" s="414" t="s">
        <v>1020</v>
      </c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7"/>
    </row>
    <row r="30" spans="2:22" s="175" customFormat="1" ht="23.1" customHeight="1">
      <c r="B30" s="173"/>
      <c r="C30" s="179" t="s">
        <v>602</v>
      </c>
      <c r="D30" s="251"/>
      <c r="E30" s="493"/>
      <c r="F30" s="287">
        <f t="shared" si="2"/>
        <v>0</v>
      </c>
      <c r="G30" s="174"/>
      <c r="I30" s="414" t="s">
        <v>1020</v>
      </c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7"/>
    </row>
    <row r="31" spans="2:22" s="175" customFormat="1" ht="23.1" customHeight="1">
      <c r="B31" s="173"/>
      <c r="C31" s="267" t="s">
        <v>603</v>
      </c>
      <c r="D31" s="252"/>
      <c r="E31" s="496"/>
      <c r="F31" s="288">
        <f t="shared" si="2"/>
        <v>0</v>
      </c>
      <c r="G31" s="174"/>
      <c r="I31" s="414" t="s">
        <v>1020</v>
      </c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7"/>
    </row>
    <row r="32" spans="2:22" s="175" customFormat="1" ht="23.1" customHeight="1">
      <c r="B32" s="173"/>
      <c r="C32" s="141"/>
      <c r="D32" s="202"/>
      <c r="E32" s="204"/>
      <c r="F32" s="283"/>
      <c r="G32" s="174"/>
      <c r="I32" s="414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7"/>
    </row>
    <row r="33" spans="2:22" s="175" customFormat="1" ht="23.1" customHeight="1" thickBot="1">
      <c r="B33" s="173"/>
      <c r="C33" s="1260" t="s">
        <v>613</v>
      </c>
      <c r="D33" s="1261"/>
      <c r="E33" s="279">
        <f>E28+E23+E21+E16</f>
        <v>3405615.9299999997</v>
      </c>
      <c r="F33" s="284">
        <f>E33/E33</f>
        <v>1</v>
      </c>
      <c r="G33" s="174"/>
      <c r="I33" s="414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7"/>
    </row>
    <row r="34" spans="2:22" ht="23.1" customHeight="1">
      <c r="B34" s="105"/>
      <c r="C34" s="141"/>
      <c r="D34" s="202"/>
      <c r="E34" s="204"/>
      <c r="F34" s="205"/>
      <c r="G34" s="95"/>
      <c r="I34" s="414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7"/>
    </row>
    <row r="35" spans="2:22" ht="23.1" customHeight="1">
      <c r="B35" s="105"/>
      <c r="C35" s="141"/>
      <c r="D35" s="202"/>
      <c r="E35" s="204"/>
      <c r="F35" s="205"/>
      <c r="G35" s="95"/>
      <c r="I35" s="414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7"/>
    </row>
    <row r="36" spans="2:22" ht="23.1" customHeight="1">
      <c r="B36" s="105"/>
      <c r="C36" s="141"/>
      <c r="D36" s="202"/>
      <c r="E36" s="204"/>
      <c r="F36" s="205"/>
      <c r="G36" s="95"/>
      <c r="I36" s="414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7"/>
    </row>
    <row r="37" spans="2:22" ht="23.1" customHeight="1">
      <c r="B37" s="105"/>
      <c r="C37" s="141"/>
      <c r="D37" s="202"/>
      <c r="E37" s="204"/>
      <c r="F37" s="205"/>
      <c r="G37" s="95"/>
      <c r="I37" s="414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2" ht="23.1" customHeight="1">
      <c r="B38" s="105"/>
      <c r="C38" s="141"/>
      <c r="D38" s="202"/>
      <c r="E38" s="204"/>
      <c r="F38" s="205"/>
      <c r="G38" s="95"/>
      <c r="I38" s="414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7"/>
    </row>
    <row r="39" spans="2:22" ht="23.1" customHeight="1">
      <c r="B39" s="105"/>
      <c r="C39" s="202"/>
      <c r="D39" s="202"/>
      <c r="E39" s="203"/>
      <c r="F39" s="87"/>
      <c r="G39" s="95"/>
      <c r="I39" s="414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7"/>
    </row>
    <row r="40" spans="2:22" ht="23.1" customHeight="1" thickBot="1">
      <c r="B40" s="108"/>
      <c r="C40" s="1116"/>
      <c r="D40" s="1116"/>
      <c r="E40" s="48"/>
      <c r="F40" s="109"/>
      <c r="G40" s="110"/>
      <c r="I40" s="408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10"/>
    </row>
    <row r="41" spans="2:22" ht="23.1" customHeight="1">
      <c r="H41" s="88" t="s">
        <v>951</v>
      </c>
    </row>
    <row r="42" spans="2:22" ht="12.75">
      <c r="C42" s="111" t="s">
        <v>72</v>
      </c>
      <c r="F42" s="86" t="s">
        <v>68</v>
      </c>
    </row>
    <row r="43" spans="2:22" ht="12.75">
      <c r="C43" s="111" t="s">
        <v>73</v>
      </c>
    </row>
    <row r="44" spans="2:22" ht="12.75">
      <c r="C44" s="111" t="s">
        <v>74</v>
      </c>
    </row>
    <row r="45" spans="2:22" ht="12.75">
      <c r="C45" s="111" t="s">
        <v>75</v>
      </c>
    </row>
    <row r="46" spans="2:22" ht="12.75">
      <c r="C46" s="111" t="s">
        <v>76</v>
      </c>
    </row>
  </sheetData>
  <sheetProtection password="C494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/>
  <ignoredErrors>
    <ignoredError sqref="F16:F33" evalError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2:H70"/>
  <sheetViews>
    <sheetView topLeftCell="A2" workbookViewId="0">
      <selection activeCell="C57" sqref="C57:D57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33203125" style="88" customWidth="1"/>
    <col min="4" max="4" width="68" style="88" customWidth="1"/>
    <col min="5" max="5" width="16.6640625" style="89" customWidth="1"/>
    <col min="6" max="6" width="3.33203125" style="88" customWidth="1"/>
    <col min="7" max="16384" width="10.6640625" style="88"/>
  </cols>
  <sheetData>
    <row r="2" spans="1:6" ht="23.1" customHeight="1">
      <c r="D2" s="202" t="s">
        <v>374</v>
      </c>
    </row>
    <row r="3" spans="1:6" ht="23.1" customHeight="1">
      <c r="D3" s="202" t="s">
        <v>375</v>
      </c>
    </row>
    <row r="4" spans="1:6" ht="23.1" customHeight="1" thickBot="1">
      <c r="A4" s="88" t="s">
        <v>950</v>
      </c>
    </row>
    <row r="5" spans="1:6" ht="9" customHeight="1">
      <c r="B5" s="90"/>
      <c r="C5" s="91"/>
      <c r="D5" s="91"/>
      <c r="E5" s="92"/>
      <c r="F5" s="93"/>
    </row>
    <row r="6" spans="1:6" ht="30" customHeight="1">
      <c r="B6" s="94"/>
      <c r="C6" s="59" t="s">
        <v>0</v>
      </c>
      <c r="E6" s="1110">
        <f>ejercicio</f>
        <v>2019</v>
      </c>
      <c r="F6" s="95"/>
    </row>
    <row r="7" spans="1:6" ht="30" customHeight="1">
      <c r="B7" s="94"/>
      <c r="C7" s="59" t="s">
        <v>1</v>
      </c>
      <c r="E7" s="1110"/>
      <c r="F7" s="95"/>
    </row>
    <row r="8" spans="1:6" ht="30" customHeight="1">
      <c r="B8" s="94"/>
      <c r="C8" s="96"/>
      <c r="E8" s="97"/>
      <c r="F8" s="95"/>
    </row>
    <row r="9" spans="1:6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74"/>
    </row>
    <row r="10" spans="1:6" ht="7.35" customHeight="1">
      <c r="B10" s="94"/>
      <c r="F10" s="95"/>
    </row>
    <row r="11" spans="1:6" s="104" customFormat="1" ht="30" customHeight="1">
      <c r="B11" s="100"/>
      <c r="C11" s="101" t="s">
        <v>614</v>
      </c>
      <c r="D11" s="101"/>
      <c r="E11" s="102"/>
      <c r="F11" s="103"/>
    </row>
    <row r="12" spans="1:6" s="104" customFormat="1" ht="30" customHeight="1">
      <c r="B12" s="100"/>
      <c r="C12" s="1128"/>
      <c r="D12" s="1128"/>
      <c r="E12" s="87"/>
      <c r="F12" s="103"/>
    </row>
    <row r="13" spans="1:6" ht="9" customHeight="1">
      <c r="B13" s="105"/>
      <c r="C13" s="141"/>
      <c r="D13" s="141"/>
      <c r="E13" s="87"/>
      <c r="F13" s="95"/>
    </row>
    <row r="14" spans="1:6" s="202" customFormat="1" ht="24" customHeight="1">
      <c r="B14" s="236"/>
      <c r="C14" s="1180" t="s">
        <v>629</v>
      </c>
      <c r="D14" s="1182"/>
      <c r="E14" s="254" t="s">
        <v>475</v>
      </c>
      <c r="F14" s="238"/>
    </row>
    <row r="15" spans="1:6" ht="9" customHeight="1">
      <c r="B15" s="105"/>
      <c r="C15" s="55"/>
      <c r="D15" s="141"/>
      <c r="E15" s="87"/>
      <c r="F15" s="95"/>
    </row>
    <row r="16" spans="1:6" s="175" customFormat="1" ht="23.1" customHeight="1">
      <c r="B16" s="173"/>
      <c r="C16" s="277" t="s">
        <v>184</v>
      </c>
      <c r="D16" s="217" t="s">
        <v>615</v>
      </c>
      <c r="E16" s="159">
        <f>'_FC-90_DETALLE'!H16</f>
        <v>0</v>
      </c>
      <c r="F16" s="174"/>
    </row>
    <row r="17" spans="2:6" s="175" customFormat="1" ht="23.1" customHeight="1">
      <c r="B17" s="173"/>
      <c r="C17" s="179" t="s">
        <v>194</v>
      </c>
      <c r="D17" s="251" t="s">
        <v>616</v>
      </c>
      <c r="E17" s="180">
        <f>'_FC-90_DETALLE'!H17</f>
        <v>0</v>
      </c>
      <c r="F17" s="174"/>
    </row>
    <row r="18" spans="2:6" s="175" customFormat="1" ht="23.1" customHeight="1">
      <c r="B18" s="173"/>
      <c r="C18" s="179" t="s">
        <v>199</v>
      </c>
      <c r="D18" s="251" t="s">
        <v>617</v>
      </c>
      <c r="E18" s="180">
        <f>'_FC-90_DETALLE'!H18</f>
        <v>200000</v>
      </c>
      <c r="F18" s="174"/>
    </row>
    <row r="19" spans="2:6" s="175" customFormat="1" ht="23.1" customHeight="1">
      <c r="B19" s="173"/>
      <c r="C19" s="179" t="s">
        <v>203</v>
      </c>
      <c r="D19" s="251" t="s">
        <v>618</v>
      </c>
      <c r="E19" s="180">
        <f>'_FC-90_DETALLE'!H26</f>
        <v>3205615.9299999997</v>
      </c>
      <c r="F19" s="174"/>
    </row>
    <row r="20" spans="2:6" s="175" customFormat="1" ht="23.1" customHeight="1">
      <c r="B20" s="173"/>
      <c r="C20" s="267" t="s">
        <v>211</v>
      </c>
      <c r="D20" s="252" t="s">
        <v>619</v>
      </c>
      <c r="E20" s="160">
        <f>'_FC-90_DETALLE'!H31</f>
        <v>215260</v>
      </c>
      <c r="F20" s="174"/>
    </row>
    <row r="21" spans="2:6" s="175" customFormat="1" ht="23.1" customHeight="1">
      <c r="B21" s="173"/>
      <c r="C21" s="1258" t="s">
        <v>620</v>
      </c>
      <c r="D21" s="1259"/>
      <c r="E21" s="282">
        <f>SUM(E16:E20)</f>
        <v>3620875.9299999997</v>
      </c>
      <c r="F21" s="174"/>
    </row>
    <row r="22" spans="2:6" s="175" customFormat="1" ht="9" customHeight="1">
      <c r="B22" s="173"/>
      <c r="C22" s="19"/>
      <c r="D22" s="141"/>
      <c r="E22" s="137"/>
      <c r="F22" s="174"/>
    </row>
    <row r="23" spans="2:6" s="175" customFormat="1" ht="23.1" customHeight="1">
      <c r="B23" s="173"/>
      <c r="C23" s="277" t="s">
        <v>214</v>
      </c>
      <c r="D23" s="217" t="s">
        <v>621</v>
      </c>
      <c r="E23" s="159">
        <f>'_FC-90_DETALLE'!H41</f>
        <v>0</v>
      </c>
      <c r="F23" s="174"/>
    </row>
    <row r="24" spans="2:6" s="175" customFormat="1" ht="23.1" customHeight="1">
      <c r="B24" s="173"/>
      <c r="C24" s="179" t="s">
        <v>216</v>
      </c>
      <c r="D24" s="251" t="s">
        <v>622</v>
      </c>
      <c r="E24" s="180">
        <f>'_FC-90_DETALLE'!H45</f>
        <v>193400</v>
      </c>
      <c r="F24" s="174"/>
    </row>
    <row r="25" spans="2:6" s="175" customFormat="1" ht="23.1" customHeight="1">
      <c r="B25" s="173"/>
      <c r="C25" s="1258" t="s">
        <v>623</v>
      </c>
      <c r="D25" s="1259"/>
      <c r="E25" s="282">
        <f>SUM(E23:E24)</f>
        <v>193400</v>
      </c>
      <c r="F25" s="174"/>
    </row>
    <row r="26" spans="2:6" s="175" customFormat="1" ht="9" customHeight="1">
      <c r="B26" s="173"/>
      <c r="C26" s="19"/>
      <c r="D26" s="141"/>
      <c r="E26" s="137"/>
      <c r="F26" s="174"/>
    </row>
    <row r="27" spans="2:6" s="175" customFormat="1" ht="23.1" customHeight="1">
      <c r="B27" s="173"/>
      <c r="C27" s="277" t="s">
        <v>267</v>
      </c>
      <c r="D27" s="217" t="s">
        <v>624</v>
      </c>
      <c r="E27" s="159">
        <f>'_FC-90_DETALLE'!H52</f>
        <v>0</v>
      </c>
      <c r="F27" s="174"/>
    </row>
    <row r="28" spans="2:6" s="175" customFormat="1" ht="23.1" customHeight="1">
      <c r="B28" s="173"/>
      <c r="C28" s="179" t="s">
        <v>269</v>
      </c>
      <c r="D28" s="251" t="s">
        <v>625</v>
      </c>
      <c r="E28" s="180">
        <f>'_FC-90_DETALLE'!H59</f>
        <v>0</v>
      </c>
      <c r="F28" s="174"/>
    </row>
    <row r="29" spans="2:6" s="175" customFormat="1" ht="23.1" customHeight="1">
      <c r="B29" s="173"/>
      <c r="C29" s="1258" t="s">
        <v>626</v>
      </c>
      <c r="D29" s="1259"/>
      <c r="E29" s="282">
        <f>SUM(E27:E28)</f>
        <v>0</v>
      </c>
      <c r="F29" s="174"/>
    </row>
    <row r="30" spans="2:6" s="175" customFormat="1" ht="23.1" customHeight="1">
      <c r="B30" s="173"/>
      <c r="C30" s="141"/>
      <c r="D30" s="202"/>
      <c r="E30" s="204"/>
      <c r="F30" s="174"/>
    </row>
    <row r="31" spans="2:6" s="243" customFormat="1" ht="23.1" customHeight="1" thickBot="1">
      <c r="B31" s="100"/>
      <c r="C31" s="1262" t="s">
        <v>627</v>
      </c>
      <c r="D31" s="1263"/>
      <c r="E31" s="291">
        <f>E21+E25+E29</f>
        <v>3814275.9299999997</v>
      </c>
      <c r="F31" s="103"/>
    </row>
    <row r="32" spans="2:6" s="175" customFormat="1" ht="9" customHeight="1">
      <c r="B32" s="173"/>
      <c r="C32" s="19"/>
      <c r="D32" s="141"/>
      <c r="E32" s="137"/>
      <c r="F32" s="174"/>
    </row>
    <row r="33" spans="2:6" s="175" customFormat="1" ht="23.1" customHeight="1">
      <c r="B33" s="173"/>
      <c r="C33" s="1258" t="s">
        <v>628</v>
      </c>
      <c r="D33" s="1259"/>
      <c r="E33" s="282">
        <f>'_FC-90_DETALLE'!H72</f>
        <v>8000</v>
      </c>
      <c r="F33" s="174"/>
    </row>
    <row r="34" spans="2:6" s="175" customFormat="1" ht="9" customHeight="1">
      <c r="B34" s="173"/>
      <c r="C34" s="19"/>
      <c r="D34" s="141"/>
      <c r="E34" s="137"/>
      <c r="F34" s="174"/>
    </row>
    <row r="35" spans="2:6" s="243" customFormat="1" ht="23.1" customHeight="1" thickBot="1">
      <c r="B35" s="100"/>
      <c r="C35" s="1262" t="s">
        <v>627</v>
      </c>
      <c r="D35" s="1263"/>
      <c r="E35" s="291">
        <f>E31+E33</f>
        <v>3822275.9299999997</v>
      </c>
      <c r="F35" s="103"/>
    </row>
    <row r="36" spans="2:6" s="175" customFormat="1" ht="23.1" customHeight="1">
      <c r="B36" s="173"/>
      <c r="C36" s="292"/>
      <c r="D36" s="292"/>
      <c r="E36" s="293"/>
      <c r="F36" s="174"/>
    </row>
    <row r="37" spans="2:6" s="202" customFormat="1" ht="24" customHeight="1">
      <c r="B37" s="236"/>
      <c r="C37" s="1180" t="s">
        <v>630</v>
      </c>
      <c r="D37" s="1182"/>
      <c r="E37" s="254" t="s">
        <v>475</v>
      </c>
      <c r="F37" s="238"/>
    </row>
    <row r="38" spans="2:6" ht="9" customHeight="1">
      <c r="B38" s="105"/>
      <c r="C38" s="55"/>
      <c r="D38" s="141"/>
      <c r="E38" s="87"/>
      <c r="F38" s="95"/>
    </row>
    <row r="39" spans="2:6" s="175" customFormat="1" ht="23.1" customHeight="1">
      <c r="B39" s="173"/>
      <c r="C39" s="277" t="s">
        <v>184</v>
      </c>
      <c r="D39" s="217" t="s">
        <v>631</v>
      </c>
      <c r="E39" s="159">
        <f>'_FC-90_DETALLE'!H87</f>
        <v>648064.86</v>
      </c>
      <c r="F39" s="174"/>
    </row>
    <row r="40" spans="2:6" s="175" customFormat="1" ht="23.1" customHeight="1">
      <c r="B40" s="173"/>
      <c r="C40" s="179" t="s">
        <v>194</v>
      </c>
      <c r="D40" s="251" t="s">
        <v>632</v>
      </c>
      <c r="E40" s="180">
        <f>'_FC-90_DETALLE'!H92</f>
        <v>2948811.07</v>
      </c>
      <c r="F40" s="174"/>
    </row>
    <row r="41" spans="2:6" s="175" customFormat="1" ht="23.1" customHeight="1">
      <c r="B41" s="173"/>
      <c r="C41" s="179" t="s">
        <v>199</v>
      </c>
      <c r="D41" s="251" t="s">
        <v>390</v>
      </c>
      <c r="E41" s="180">
        <f>'_FC-90_DETALLE'!H105</f>
        <v>0</v>
      </c>
      <c r="F41" s="174"/>
    </row>
    <row r="42" spans="2:6" s="175" customFormat="1" ht="23.1" customHeight="1">
      <c r="B42" s="173"/>
      <c r="C42" s="179" t="s">
        <v>203</v>
      </c>
      <c r="D42" s="251" t="s">
        <v>633</v>
      </c>
      <c r="E42" s="180">
        <f>'_FC-90_DETALLE'!H111</f>
        <v>0</v>
      </c>
      <c r="F42" s="174"/>
    </row>
    <row r="43" spans="2:6" s="175" customFormat="1" ht="23.1" customHeight="1">
      <c r="B43" s="173"/>
      <c r="C43" s="1258" t="s">
        <v>634</v>
      </c>
      <c r="D43" s="1259"/>
      <c r="E43" s="282">
        <f>SUM(E39:E42)</f>
        <v>3596875.9299999997</v>
      </c>
      <c r="F43" s="174"/>
    </row>
    <row r="44" spans="2:6" s="175" customFormat="1" ht="9" customHeight="1">
      <c r="B44" s="173"/>
      <c r="C44" s="19"/>
      <c r="D44" s="141"/>
      <c r="E44" s="137"/>
      <c r="F44" s="174"/>
    </row>
    <row r="45" spans="2:6" s="175" customFormat="1" ht="23.1" customHeight="1">
      <c r="B45" s="173"/>
      <c r="C45" s="277" t="s">
        <v>214</v>
      </c>
      <c r="D45" s="217" t="s">
        <v>635</v>
      </c>
      <c r="E45" s="159">
        <f>'_FC-90_DETALLE'!H117</f>
        <v>193400</v>
      </c>
      <c r="F45" s="174"/>
    </row>
    <row r="46" spans="2:6" s="175" customFormat="1" ht="23.1" customHeight="1">
      <c r="B46" s="173"/>
      <c r="C46" s="179" t="s">
        <v>216</v>
      </c>
      <c r="D46" s="251" t="s">
        <v>622</v>
      </c>
      <c r="E46" s="180">
        <f>'_FC-90_DETALLE'!H122</f>
        <v>0</v>
      </c>
      <c r="F46" s="174"/>
    </row>
    <row r="47" spans="2:6" s="175" customFormat="1" ht="23.1" customHeight="1">
      <c r="B47" s="173"/>
      <c r="C47" s="1258" t="s">
        <v>636</v>
      </c>
      <c r="D47" s="1259"/>
      <c r="E47" s="282">
        <f>SUM(E45:E46)</f>
        <v>193400</v>
      </c>
      <c r="F47" s="174"/>
    </row>
    <row r="48" spans="2:6" s="175" customFormat="1" ht="9" customHeight="1">
      <c r="B48" s="173"/>
      <c r="C48" s="19"/>
      <c r="D48" s="141"/>
      <c r="E48" s="137"/>
      <c r="F48" s="174"/>
    </row>
    <row r="49" spans="2:8" s="175" customFormat="1" ht="23.1" customHeight="1">
      <c r="B49" s="173"/>
      <c r="C49" s="277" t="s">
        <v>267</v>
      </c>
      <c r="D49" s="217" t="s">
        <v>624</v>
      </c>
      <c r="E49" s="159">
        <f>'_FC-90_DETALLE'!H128</f>
        <v>0</v>
      </c>
      <c r="F49" s="174"/>
    </row>
    <row r="50" spans="2:8" s="175" customFormat="1" ht="23.1" customHeight="1">
      <c r="B50" s="173"/>
      <c r="C50" s="179" t="s">
        <v>269</v>
      </c>
      <c r="D50" s="251" t="s">
        <v>625</v>
      </c>
      <c r="E50" s="180">
        <f>'_FC-90_DETALLE'!H135</f>
        <v>0</v>
      </c>
      <c r="F50" s="174"/>
    </row>
    <row r="51" spans="2:8" s="175" customFormat="1" ht="23.1" customHeight="1">
      <c r="B51" s="173"/>
      <c r="C51" s="1258" t="s">
        <v>637</v>
      </c>
      <c r="D51" s="1259"/>
      <c r="E51" s="282">
        <f>SUM(E49:E50)</f>
        <v>0</v>
      </c>
      <c r="F51" s="174"/>
    </row>
    <row r="52" spans="2:8" s="175" customFormat="1" ht="9" customHeight="1">
      <c r="B52" s="173"/>
      <c r="C52" s="141"/>
      <c r="D52" s="202"/>
      <c r="E52" s="204"/>
      <c r="F52" s="174"/>
    </row>
    <row r="53" spans="2:8" s="243" customFormat="1" ht="23.1" customHeight="1" thickBot="1">
      <c r="B53" s="100"/>
      <c r="C53" s="1262" t="s">
        <v>638</v>
      </c>
      <c r="D53" s="1263"/>
      <c r="E53" s="291">
        <f>E43+E47+E51</f>
        <v>3790275.9299999997</v>
      </c>
      <c r="F53" s="103"/>
    </row>
    <row r="54" spans="2:8" s="175" customFormat="1" ht="9" customHeight="1">
      <c r="B54" s="173"/>
      <c r="C54" s="19"/>
      <c r="D54" s="141"/>
      <c r="E54" s="137"/>
      <c r="F54" s="174"/>
    </row>
    <row r="55" spans="2:8" s="175" customFormat="1" ht="24" customHeight="1">
      <c r="B55" s="173"/>
      <c r="C55" s="1258" t="s">
        <v>639</v>
      </c>
      <c r="D55" s="1259"/>
      <c r="E55" s="282">
        <f>'_FC-90_DETALLE'!H151</f>
        <v>32000</v>
      </c>
      <c r="F55" s="174"/>
    </row>
    <row r="56" spans="2:8" s="175" customFormat="1" ht="9" customHeight="1">
      <c r="B56" s="173"/>
      <c r="C56" s="19"/>
      <c r="D56" s="141"/>
      <c r="E56" s="137"/>
      <c r="F56" s="174"/>
    </row>
    <row r="57" spans="2:8" s="175" customFormat="1" ht="24" customHeight="1" thickBot="1">
      <c r="B57" s="173"/>
      <c r="C57" s="1262" t="s">
        <v>638</v>
      </c>
      <c r="D57" s="1263"/>
      <c r="E57" s="291">
        <f>E53+E55</f>
        <v>3822275.9299999997</v>
      </c>
      <c r="F57" s="174"/>
    </row>
    <row r="58" spans="2:8" s="175" customFormat="1" ht="24" customHeight="1">
      <c r="B58" s="173"/>
      <c r="C58" s="19"/>
      <c r="D58" s="141"/>
      <c r="E58" s="137"/>
      <c r="F58" s="174"/>
    </row>
    <row r="59" spans="2:8" s="175" customFormat="1" ht="24" customHeight="1" thickBot="1">
      <c r="B59" s="173"/>
      <c r="C59" s="1089" t="s">
        <v>1017</v>
      </c>
      <c r="D59" s="1090"/>
      <c r="E59" s="1091">
        <f>E35-E57</f>
        <v>0</v>
      </c>
      <c r="F59" s="174"/>
    </row>
    <row r="60" spans="2:8" s="175" customFormat="1" ht="24" customHeight="1" thickTop="1">
      <c r="B60" s="173"/>
      <c r="C60" s="19"/>
      <c r="D60" s="141"/>
      <c r="E60" s="137"/>
      <c r="F60" s="174"/>
    </row>
    <row r="61" spans="2:8" s="175" customFormat="1" ht="24" customHeight="1" thickBot="1">
      <c r="B61" s="173"/>
      <c r="C61" s="1089" t="s">
        <v>1018</v>
      </c>
      <c r="D61" s="1090"/>
      <c r="E61" s="1091">
        <f>'_FC-90_DETALLE'!H168</f>
        <v>7.2759576141834259E-12</v>
      </c>
      <c r="F61" s="174"/>
    </row>
    <row r="62" spans="2:8" s="175" customFormat="1" ht="24" customHeight="1" thickTop="1">
      <c r="B62" s="173"/>
      <c r="C62" s="19"/>
      <c r="D62" s="141"/>
      <c r="E62" s="137"/>
      <c r="F62" s="174"/>
    </row>
    <row r="63" spans="2:8" s="175" customFormat="1" ht="24" customHeight="1" thickBot="1">
      <c r="B63" s="173"/>
      <c r="C63" s="1089" t="s">
        <v>1019</v>
      </c>
      <c r="D63" s="1090"/>
      <c r="E63" s="1091">
        <f>+E59+E61</f>
        <v>7.2759576141834259E-12</v>
      </c>
      <c r="F63" s="174"/>
    </row>
    <row r="64" spans="2:8" ht="23.1" customHeight="1" thickTop="1" thickBot="1">
      <c r="B64" s="108"/>
      <c r="C64" s="1116"/>
      <c r="D64" s="1116"/>
      <c r="E64" s="109"/>
      <c r="F64" s="110"/>
      <c r="H64" s="175"/>
    </row>
    <row r="65" spans="3:7" ht="23.1" customHeight="1">
      <c r="G65" s="88" t="s">
        <v>951</v>
      </c>
    </row>
    <row r="66" spans="3:7" ht="12.75">
      <c r="C66" s="111" t="s">
        <v>72</v>
      </c>
      <c r="E66" s="86" t="s">
        <v>68</v>
      </c>
    </row>
    <row r="67" spans="3:7" ht="12.75">
      <c r="C67" s="111" t="s">
        <v>73</v>
      </c>
    </row>
    <row r="68" spans="3:7" ht="12.75">
      <c r="C68" s="111" t="s">
        <v>74</v>
      </c>
    </row>
    <row r="69" spans="3:7" ht="12.75">
      <c r="C69" s="111" t="s">
        <v>75</v>
      </c>
    </row>
    <row r="70" spans="3:7" ht="12.75">
      <c r="C70" s="111" t="s">
        <v>76</v>
      </c>
    </row>
  </sheetData>
  <sheetProtection password="C494" sheet="1" objects="1" scenarios="1"/>
  <mergeCells count="18">
    <mergeCell ref="C47:D47"/>
    <mergeCell ref="C51:D51"/>
    <mergeCell ref="C53:D53"/>
    <mergeCell ref="C64:D64"/>
    <mergeCell ref="C29:D29"/>
    <mergeCell ref="C31:D31"/>
    <mergeCell ref="C37:D37"/>
    <mergeCell ref="C43:D43"/>
    <mergeCell ref="C33:D33"/>
    <mergeCell ref="C35:D35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B1:M221"/>
  <sheetViews>
    <sheetView workbookViewId="0">
      <pane xSplit="4" ySplit="14" topLeftCell="E135" activePane="bottomRight" state="frozen"/>
      <selection pane="topRight" activeCell="E1" sqref="E1"/>
      <selection pane="bottomLeft" activeCell="A15" sqref="A15"/>
      <selection pane="bottomRight" activeCell="E152" sqref="E152:E162"/>
    </sheetView>
  </sheetViews>
  <sheetFormatPr baseColWidth="10" defaultColWidth="10.6640625" defaultRowHeight="23.1" customHeight="1"/>
  <cols>
    <col min="1" max="2" width="3.33203125" style="89" customWidth="1"/>
    <col min="3" max="3" width="13.33203125" style="89" customWidth="1"/>
    <col min="4" max="4" width="88.33203125" style="89" customWidth="1"/>
    <col min="5" max="7" width="21.6640625" style="913" customWidth="1"/>
    <col min="8" max="8" width="21.6640625" style="89" customWidth="1"/>
    <col min="9" max="9" width="3.33203125" style="89" customWidth="1"/>
    <col min="10" max="10" width="10" style="89" customWidth="1"/>
    <col min="11" max="11" width="62" style="89" customWidth="1"/>
    <col min="12" max="16384" width="10.6640625" style="89"/>
  </cols>
  <sheetData>
    <row r="1" spans="2:11" ht="33" customHeight="1"/>
    <row r="2" spans="2:11" ht="29.1" customHeight="1">
      <c r="D2" s="914" t="s">
        <v>374</v>
      </c>
      <c r="E2" s="915"/>
      <c r="F2" s="915"/>
      <c r="G2" s="915"/>
    </row>
    <row r="3" spans="2:11" ht="29.1" customHeight="1">
      <c r="D3" s="914" t="s">
        <v>375</v>
      </c>
      <c r="E3" s="915"/>
      <c r="F3" s="915"/>
      <c r="G3" s="915"/>
    </row>
    <row r="4" spans="2:11" ht="18" customHeight="1" thickBot="1"/>
    <row r="5" spans="2:11" ht="12.75">
      <c r="B5" s="916"/>
      <c r="C5" s="92"/>
      <c r="D5" s="92"/>
      <c r="E5" s="917"/>
      <c r="F5" s="917"/>
      <c r="G5" s="917"/>
      <c r="H5" s="92"/>
      <c r="I5" s="918"/>
    </row>
    <row r="6" spans="2:11" ht="15.75">
      <c r="B6" s="919"/>
      <c r="C6" s="920" t="s">
        <v>0</v>
      </c>
      <c r="H6" s="1269">
        <f>ejercicio</f>
        <v>2019</v>
      </c>
      <c r="I6" s="921"/>
    </row>
    <row r="7" spans="2:11" ht="15.75">
      <c r="B7" s="919"/>
      <c r="C7" s="920" t="s">
        <v>1</v>
      </c>
      <c r="H7" s="1269"/>
      <c r="I7" s="921"/>
    </row>
    <row r="8" spans="2:11" ht="12.75">
      <c r="B8" s="919"/>
      <c r="C8" s="922"/>
      <c r="H8" s="97"/>
      <c r="I8" s="921"/>
    </row>
    <row r="9" spans="2:11" s="926" customFormat="1" ht="22.35" customHeight="1">
      <c r="B9" s="923"/>
      <c r="C9" s="924" t="s">
        <v>2</v>
      </c>
      <c r="D9" s="1270" t="str">
        <f>Entidad</f>
        <v>TEA TENERIFE ESPACIO DE LAS ARTES</v>
      </c>
      <c r="E9" s="1270"/>
      <c r="F9" s="1270"/>
      <c r="G9" s="1270"/>
      <c r="H9" s="1270"/>
      <c r="I9" s="925"/>
    </row>
    <row r="10" spans="2:11" ht="12.75">
      <c r="B10" s="919"/>
      <c r="I10" s="921"/>
    </row>
    <row r="11" spans="2:11" s="87" customFormat="1" ht="27" customHeight="1">
      <c r="B11" s="927"/>
      <c r="C11" s="102" t="s">
        <v>614</v>
      </c>
      <c r="D11" s="102"/>
      <c r="E11" s="928"/>
      <c r="F11" s="928"/>
      <c r="G11" s="928"/>
      <c r="H11" s="102"/>
      <c r="I11" s="929"/>
    </row>
    <row r="12" spans="2:11" s="87" customFormat="1" ht="18">
      <c r="B12" s="927"/>
      <c r="C12" s="1271"/>
      <c r="D12" s="1271"/>
      <c r="E12" s="915"/>
      <c r="F12" s="915"/>
      <c r="G12" s="915"/>
      <c r="I12" s="929"/>
    </row>
    <row r="13" spans="2:11" ht="18">
      <c r="B13" s="930"/>
      <c r="C13" s="931"/>
      <c r="D13" s="931"/>
      <c r="E13" s="915"/>
      <c r="F13" s="915"/>
      <c r="G13" s="915"/>
      <c r="H13" s="87"/>
      <c r="I13" s="921"/>
    </row>
    <row r="14" spans="2:11" s="935" customFormat="1" ht="23.25">
      <c r="B14" s="932"/>
      <c r="C14" s="1272" t="s">
        <v>629</v>
      </c>
      <c r="D14" s="1273"/>
      <c r="E14" s="933" t="s">
        <v>835</v>
      </c>
      <c r="F14" s="933" t="s">
        <v>836</v>
      </c>
      <c r="G14" s="933" t="s">
        <v>914</v>
      </c>
      <c r="H14" s="602" t="s">
        <v>912</v>
      </c>
      <c r="I14" s="934"/>
      <c r="K14" s="602" t="s">
        <v>915</v>
      </c>
    </row>
    <row r="15" spans="2:11" ht="18">
      <c r="B15" s="930"/>
      <c r="C15" s="84"/>
      <c r="D15" s="931"/>
      <c r="E15" s="915"/>
      <c r="F15" s="915"/>
      <c r="G15" s="915"/>
      <c r="H15" s="87"/>
      <c r="I15" s="921"/>
    </row>
    <row r="16" spans="2:11" s="941" customFormat="1" ht="18">
      <c r="B16" s="936"/>
      <c r="C16" s="937" t="s">
        <v>184</v>
      </c>
      <c r="D16" s="253" t="s">
        <v>615</v>
      </c>
      <c r="E16" s="938">
        <v>0</v>
      </c>
      <c r="F16" s="938">
        <v>0</v>
      </c>
      <c r="G16" s="938">
        <v>0</v>
      </c>
      <c r="H16" s="939">
        <f>SUM(E16:G16)</f>
        <v>0</v>
      </c>
      <c r="I16" s="940"/>
      <c r="K16" s="1054"/>
    </row>
    <row r="17" spans="2:12" s="941" customFormat="1" ht="18">
      <c r="B17" s="936"/>
      <c r="C17" s="937" t="s">
        <v>194</v>
      </c>
      <c r="D17" s="253" t="s">
        <v>616</v>
      </c>
      <c r="E17" s="938">
        <v>0</v>
      </c>
      <c r="F17" s="938">
        <v>0</v>
      </c>
      <c r="G17" s="938">
        <v>0</v>
      </c>
      <c r="H17" s="939">
        <f>SUM(E17:G17)</f>
        <v>0</v>
      </c>
      <c r="I17" s="940"/>
      <c r="K17" s="1054"/>
    </row>
    <row r="18" spans="2:12" s="941" customFormat="1" ht="18">
      <c r="B18" s="936"/>
      <c r="C18" s="937" t="s">
        <v>199</v>
      </c>
      <c r="D18" s="253" t="s">
        <v>617</v>
      </c>
      <c r="E18" s="938">
        <f>SUM(E19:E25)</f>
        <v>200000</v>
      </c>
      <c r="F18" s="938">
        <f>SUM(F19:F25)</f>
        <v>0</v>
      </c>
      <c r="G18" s="938">
        <f>SUM(G19:G25)</f>
        <v>0</v>
      </c>
      <c r="H18" s="938">
        <f>SUM(H19:H25)</f>
        <v>200000</v>
      </c>
      <c r="I18" s="940"/>
      <c r="K18" s="1054"/>
    </row>
    <row r="19" spans="2:12" s="219" customFormat="1" ht="18" hidden="1">
      <c r="B19" s="930"/>
      <c r="C19" s="942" t="s">
        <v>41</v>
      </c>
      <c r="D19" s="943" t="s">
        <v>837</v>
      </c>
      <c r="E19" s="944">
        <f>'FC-3_CPyG'!G16</f>
        <v>200000</v>
      </c>
      <c r="F19" s="945"/>
      <c r="G19" s="1040"/>
      <c r="H19" s="946">
        <f t="shared" ref="H19:H25" si="0">SUM(E19:G19)</f>
        <v>200000</v>
      </c>
      <c r="I19" s="947"/>
      <c r="K19" s="1054"/>
    </row>
    <row r="20" spans="2:12" s="219" customFormat="1" ht="18" hidden="1">
      <c r="B20" s="930"/>
      <c r="C20" s="942" t="s">
        <v>47</v>
      </c>
      <c r="D20" s="943" t="s">
        <v>838</v>
      </c>
      <c r="E20" s="944">
        <f>'FC-3_1_INF_ADIC_CPyG'!G72</f>
        <v>0</v>
      </c>
      <c r="F20" s="945"/>
      <c r="G20" s="1040"/>
      <c r="H20" s="946">
        <f t="shared" si="0"/>
        <v>0</v>
      </c>
      <c r="I20" s="947"/>
      <c r="K20" s="1054"/>
    </row>
    <row r="21" spans="2:12" s="219" customFormat="1" ht="18" hidden="1">
      <c r="B21" s="930"/>
      <c r="C21" s="942" t="s">
        <v>47</v>
      </c>
      <c r="D21" s="943" t="s">
        <v>839</v>
      </c>
      <c r="E21" s="944">
        <f>'FC-3_1_INF_ADIC_CPyG'!G74</f>
        <v>0</v>
      </c>
      <c r="F21" s="945"/>
      <c r="G21" s="1040"/>
      <c r="H21" s="946">
        <f t="shared" si="0"/>
        <v>0</v>
      </c>
      <c r="I21" s="947"/>
      <c r="K21" s="1054"/>
    </row>
    <row r="22" spans="2:12" s="219" customFormat="1" ht="18" hidden="1">
      <c r="B22" s="930"/>
      <c r="C22" s="942" t="s">
        <v>47</v>
      </c>
      <c r="D22" s="943" t="s">
        <v>840</v>
      </c>
      <c r="E22" s="944">
        <f>'FC-3_1_INF_ADIC_CPyG'!G47</f>
        <v>0</v>
      </c>
      <c r="F22" s="945"/>
      <c r="G22" s="1040"/>
      <c r="H22" s="946">
        <f t="shared" si="0"/>
        <v>0</v>
      </c>
      <c r="I22" s="947"/>
      <c r="K22" s="1054"/>
      <c r="L22" s="948"/>
    </row>
    <row r="23" spans="2:12" s="219" customFormat="1" ht="18" hidden="1">
      <c r="B23" s="930"/>
      <c r="C23" s="942"/>
      <c r="D23" s="943" t="s">
        <v>841</v>
      </c>
      <c r="E23" s="945"/>
      <c r="F23" s="945"/>
      <c r="G23" s="1040"/>
      <c r="H23" s="946">
        <f t="shared" si="0"/>
        <v>0</v>
      </c>
      <c r="I23" s="947"/>
      <c r="K23" s="1054"/>
      <c r="L23" s="948" t="s">
        <v>968</v>
      </c>
    </row>
    <row r="24" spans="2:12" s="219" customFormat="1" ht="18" hidden="1">
      <c r="B24" s="930"/>
      <c r="C24" s="1049"/>
      <c r="D24" s="1058"/>
      <c r="E24" s="945"/>
      <c r="F24" s="945"/>
      <c r="G24" s="1040"/>
      <c r="H24" s="946">
        <f t="shared" si="0"/>
        <v>0</v>
      </c>
      <c r="I24" s="947"/>
      <c r="K24" s="1054"/>
      <c r="L24" s="948"/>
    </row>
    <row r="25" spans="2:12" s="219" customFormat="1" ht="18" hidden="1">
      <c r="B25" s="930"/>
      <c r="C25" s="1049"/>
      <c r="D25" s="1058"/>
      <c r="E25" s="945"/>
      <c r="F25" s="945"/>
      <c r="G25" s="1040"/>
      <c r="H25" s="946">
        <f t="shared" si="0"/>
        <v>0</v>
      </c>
      <c r="I25" s="947"/>
      <c r="K25" s="1054"/>
      <c r="L25" s="948"/>
    </row>
    <row r="26" spans="2:12" s="941" customFormat="1" ht="18">
      <c r="B26" s="936"/>
      <c r="C26" s="937" t="s">
        <v>203</v>
      </c>
      <c r="D26" s="253" t="s">
        <v>618</v>
      </c>
      <c r="E26" s="938">
        <f>SUM(E27:E30)</f>
        <v>1824883.75</v>
      </c>
      <c r="F26" s="938">
        <f>SUM(F27:F30)</f>
        <v>1380732.18</v>
      </c>
      <c r="G26" s="938">
        <f>SUM(G27:G30)</f>
        <v>0</v>
      </c>
      <c r="H26" s="938">
        <f>SUM(H27:H30)</f>
        <v>3205615.9299999997</v>
      </c>
      <c r="I26" s="940"/>
      <c r="K26" s="1054"/>
    </row>
    <row r="27" spans="2:12" s="219" customFormat="1" ht="18" hidden="1">
      <c r="B27" s="930"/>
      <c r="C27" s="942" t="s">
        <v>41</v>
      </c>
      <c r="D27" s="943" t="s">
        <v>842</v>
      </c>
      <c r="E27" s="944">
        <f>'FC-3_CPyG'!G29</f>
        <v>1824883.75</v>
      </c>
      <c r="F27" s="945"/>
      <c r="G27" s="1040"/>
      <c r="H27" s="946">
        <f>SUM(E27:G27)</f>
        <v>1824883.75</v>
      </c>
      <c r="I27" s="947"/>
      <c r="K27" s="1054"/>
    </row>
    <row r="28" spans="2:12" s="219" customFormat="1" ht="18" hidden="1">
      <c r="B28" s="930"/>
      <c r="C28" s="942" t="s">
        <v>54</v>
      </c>
      <c r="D28" s="958" t="s">
        <v>843</v>
      </c>
      <c r="E28" s="945"/>
      <c r="F28" s="959">
        <f>'FC-9_TRANS_SUBV'!H67</f>
        <v>1380732.18</v>
      </c>
      <c r="G28" s="1040"/>
      <c r="H28" s="946">
        <f>SUM(E28:G28)</f>
        <v>1380732.18</v>
      </c>
      <c r="I28" s="947"/>
      <c r="K28" s="1054"/>
      <c r="L28" s="948"/>
    </row>
    <row r="29" spans="2:12" s="219" customFormat="1" ht="18" hidden="1">
      <c r="B29" s="930"/>
      <c r="C29" s="1049"/>
      <c r="D29" s="1058"/>
      <c r="E29" s="945"/>
      <c r="F29" s="945"/>
      <c r="G29" s="1040"/>
      <c r="H29" s="946">
        <f>SUM(E29:G29)</f>
        <v>0</v>
      </c>
      <c r="I29" s="947"/>
      <c r="K29" s="1054"/>
      <c r="L29" s="948"/>
    </row>
    <row r="30" spans="2:12" s="219" customFormat="1" ht="18" hidden="1">
      <c r="B30" s="930"/>
      <c r="C30" s="1051"/>
      <c r="D30" s="1059"/>
      <c r="E30" s="945"/>
      <c r="F30" s="945"/>
      <c r="G30" s="1041"/>
      <c r="H30" s="946">
        <f>SUM(E30:G30)</f>
        <v>0</v>
      </c>
      <c r="I30" s="947"/>
      <c r="K30" s="1054"/>
    </row>
    <row r="31" spans="2:12" s="941" customFormat="1" ht="18">
      <c r="B31" s="936"/>
      <c r="C31" s="937" t="s">
        <v>211</v>
      </c>
      <c r="D31" s="253" t="s">
        <v>619</v>
      </c>
      <c r="E31" s="938">
        <f>SUM(E32:E38)</f>
        <v>215260</v>
      </c>
      <c r="F31" s="938">
        <f>SUM(F32:F38)</f>
        <v>0</v>
      </c>
      <c r="G31" s="938">
        <f>SUM(G32:G38)</f>
        <v>0</v>
      </c>
      <c r="H31" s="938">
        <f>SUM(H32:H38)</f>
        <v>215260</v>
      </c>
      <c r="I31" s="940"/>
      <c r="K31" s="1054"/>
    </row>
    <row r="32" spans="2:12" s="219" customFormat="1" ht="18" hidden="1">
      <c r="B32" s="930"/>
      <c r="C32" s="949" t="s">
        <v>47</v>
      </c>
      <c r="D32" s="950" t="s">
        <v>844</v>
      </c>
      <c r="E32" s="951">
        <f>'FC-3_1_INF_ADIC_CPyG'!G73</f>
        <v>215260</v>
      </c>
      <c r="F32" s="945"/>
      <c r="G32" s="1042"/>
      <c r="H32" s="946">
        <f>SUM(E32:G32)</f>
        <v>215260</v>
      </c>
      <c r="I32" s="947"/>
      <c r="K32" s="1054"/>
    </row>
    <row r="33" spans="2:12" s="920" customFormat="1" ht="18" hidden="1">
      <c r="B33" s="952"/>
      <c r="C33" s="942" t="s">
        <v>41</v>
      </c>
      <c r="D33" s="943" t="s">
        <v>845</v>
      </c>
      <c r="E33" s="944">
        <f>'FC-3_CPyG'!G52</f>
        <v>0</v>
      </c>
      <c r="F33" s="945"/>
      <c r="G33" s="1040"/>
      <c r="H33" s="946">
        <f t="shared" ref="H33:H38" si="1">SUM(E33:G33)</f>
        <v>0</v>
      </c>
      <c r="I33" s="953"/>
      <c r="K33" s="1054"/>
    </row>
    <row r="34" spans="2:12" s="920" customFormat="1" ht="18" hidden="1">
      <c r="B34" s="952"/>
      <c r="C34" s="942" t="s">
        <v>41</v>
      </c>
      <c r="D34" s="943" t="s">
        <v>846</v>
      </c>
      <c r="E34" s="944">
        <f>'FC-3_CPyG'!G55</f>
        <v>0</v>
      </c>
      <c r="F34" s="945"/>
      <c r="G34" s="1040"/>
      <c r="H34" s="946">
        <f t="shared" si="1"/>
        <v>0</v>
      </c>
      <c r="I34" s="953"/>
      <c r="K34" s="1054"/>
    </row>
    <row r="35" spans="2:12" s="920" customFormat="1" ht="18" hidden="1">
      <c r="B35" s="952"/>
      <c r="C35" s="942" t="s">
        <v>41</v>
      </c>
      <c r="D35" s="943" t="s">
        <v>847</v>
      </c>
      <c r="E35" s="944">
        <f>'FC-3_CPyG'!G72</f>
        <v>0</v>
      </c>
      <c r="F35" s="945"/>
      <c r="G35" s="1040"/>
      <c r="H35" s="946">
        <f t="shared" si="1"/>
        <v>0</v>
      </c>
      <c r="I35" s="953"/>
      <c r="K35" s="1054"/>
    </row>
    <row r="36" spans="2:12" s="920" customFormat="1" ht="18" hidden="1">
      <c r="B36" s="952"/>
      <c r="C36" s="942" t="s">
        <v>41</v>
      </c>
      <c r="D36" s="943" t="s">
        <v>848</v>
      </c>
      <c r="E36" s="944">
        <f>+'FC-3_CPyG'!G73</f>
        <v>0</v>
      </c>
      <c r="F36" s="945"/>
      <c r="G36" s="1040"/>
      <c r="H36" s="946">
        <f t="shared" si="1"/>
        <v>0</v>
      </c>
      <c r="I36" s="953"/>
      <c r="K36" s="1054"/>
    </row>
    <row r="37" spans="2:12" s="920" customFormat="1" ht="18" hidden="1">
      <c r="B37" s="952"/>
      <c r="C37" s="1049"/>
      <c r="D37" s="1058"/>
      <c r="E37" s="945"/>
      <c r="F37" s="945"/>
      <c r="G37" s="1040"/>
      <c r="H37" s="946">
        <f t="shared" si="1"/>
        <v>0</v>
      </c>
      <c r="I37" s="953"/>
      <c r="K37" s="1054"/>
    </row>
    <row r="38" spans="2:12" s="920" customFormat="1" ht="18" hidden="1">
      <c r="B38" s="952"/>
      <c r="C38" s="1051"/>
      <c r="D38" s="1060"/>
      <c r="E38" s="945"/>
      <c r="F38" s="945"/>
      <c r="G38" s="1041"/>
      <c r="H38" s="946">
        <f t="shared" si="1"/>
        <v>0</v>
      </c>
      <c r="I38" s="953"/>
      <c r="K38" s="1054"/>
    </row>
    <row r="39" spans="2:12" s="957" customFormat="1" ht="18">
      <c r="B39" s="954"/>
      <c r="C39" s="1274" t="s">
        <v>620</v>
      </c>
      <c r="D39" s="1275"/>
      <c r="E39" s="955">
        <f>E16+E17+E18+E26+E31</f>
        <v>2240143.75</v>
      </c>
      <c r="F39" s="955">
        <f>F16+F17+F18+F26+F31</f>
        <v>1380732.18</v>
      </c>
      <c r="G39" s="955">
        <f>G16+G17+G18+G26+G31</f>
        <v>0</v>
      </c>
      <c r="H39" s="955">
        <f>H16+H17+H18+H26+H31</f>
        <v>3620875.9299999997</v>
      </c>
      <c r="I39" s="956"/>
      <c r="K39" s="1054"/>
    </row>
    <row r="40" spans="2:12" s="926" customFormat="1" ht="15.75">
      <c r="B40" s="923"/>
      <c r="C40" s="203"/>
      <c r="D40" s="931"/>
      <c r="E40" s="915"/>
      <c r="F40" s="915"/>
      <c r="G40" s="915"/>
      <c r="H40" s="137"/>
      <c r="I40" s="925"/>
      <c r="K40" s="1055"/>
    </row>
    <row r="41" spans="2:12" s="920" customFormat="1" ht="18">
      <c r="B41" s="952"/>
      <c r="C41" s="937" t="s">
        <v>214</v>
      </c>
      <c r="D41" s="253" t="s">
        <v>621</v>
      </c>
      <c r="E41" s="938">
        <f>SUM(E42:E44)</f>
        <v>0</v>
      </c>
      <c r="F41" s="938">
        <f>SUM(F42:F44)</f>
        <v>0</v>
      </c>
      <c r="G41" s="938">
        <f>SUM(G42:G44)</f>
        <v>0</v>
      </c>
      <c r="H41" s="938">
        <f>SUM(H42:H44)</f>
        <v>0</v>
      </c>
      <c r="I41" s="953"/>
      <c r="K41" s="1054"/>
    </row>
    <row r="42" spans="2:12" s="219" customFormat="1" ht="18" hidden="1">
      <c r="B42" s="930"/>
      <c r="C42" s="942" t="s">
        <v>50</v>
      </c>
      <c r="D42" s="958" t="s">
        <v>849</v>
      </c>
      <c r="E42" s="945"/>
      <c r="F42" s="959">
        <f>'FC-7_INF'!K31</f>
        <v>0</v>
      </c>
      <c r="G42" s="1042"/>
      <c r="H42" s="946">
        <f>SUM(E42:G42)</f>
        <v>0</v>
      </c>
      <c r="I42" s="947"/>
      <c r="K42" s="1054"/>
      <c r="L42" s="960" t="s">
        <v>850</v>
      </c>
    </row>
    <row r="43" spans="2:12" s="219" customFormat="1" ht="18" hidden="1">
      <c r="B43" s="930"/>
      <c r="C43" s="1049"/>
      <c r="D43" s="1050"/>
      <c r="E43" s="945"/>
      <c r="F43" s="945"/>
      <c r="G43" s="1040"/>
      <c r="H43" s="946">
        <f>SUM(E43:G43)</f>
        <v>0</v>
      </c>
      <c r="I43" s="947"/>
      <c r="K43" s="1054"/>
      <c r="L43" s="920"/>
    </row>
    <row r="44" spans="2:12" s="219" customFormat="1" ht="18" hidden="1">
      <c r="B44" s="930"/>
      <c r="C44" s="1051"/>
      <c r="D44" s="1050"/>
      <c r="E44" s="945"/>
      <c r="F44" s="945"/>
      <c r="G44" s="1041"/>
      <c r="H44" s="946">
        <f>SUM(E44:G44)</f>
        <v>0</v>
      </c>
      <c r="I44" s="947"/>
      <c r="K44" s="1054"/>
      <c r="L44" s="920"/>
    </row>
    <row r="45" spans="2:12" s="920" customFormat="1" ht="18">
      <c r="B45" s="952"/>
      <c r="C45" s="937" t="s">
        <v>216</v>
      </c>
      <c r="D45" s="253" t="s">
        <v>622</v>
      </c>
      <c r="E45" s="938">
        <f>SUM(E46:E49)</f>
        <v>0</v>
      </c>
      <c r="F45" s="938">
        <f t="shared" ref="F45" si="2">SUM(F46:F49)</f>
        <v>193400</v>
      </c>
      <c r="G45" s="938">
        <f>SUM(G46:G49)</f>
        <v>0</v>
      </c>
      <c r="H45" s="938">
        <f>SUM(H46:H49)</f>
        <v>193400</v>
      </c>
      <c r="I45" s="953"/>
      <c r="K45" s="1054"/>
    </row>
    <row r="46" spans="2:12" s="964" customFormat="1" ht="18" hidden="1">
      <c r="B46" s="961"/>
      <c r="C46" s="942" t="s">
        <v>54</v>
      </c>
      <c r="D46" s="958" t="s">
        <v>916</v>
      </c>
      <c r="E46" s="962"/>
      <c r="F46" s="959">
        <f>'FC-9_TRANS_SUBV'!I31</f>
        <v>193400</v>
      </c>
      <c r="G46" s="867"/>
      <c r="H46" s="946">
        <f>F46+E46</f>
        <v>193400</v>
      </c>
      <c r="I46" s="963"/>
      <c r="K46" s="1054"/>
    </row>
    <row r="47" spans="2:12" s="920" customFormat="1" ht="18" hidden="1">
      <c r="B47" s="952"/>
      <c r="C47" s="942" t="s">
        <v>998</v>
      </c>
      <c r="D47" s="958" t="s">
        <v>999</v>
      </c>
      <c r="E47" s="962"/>
      <c r="F47" s="959">
        <f>'FC-4_1_MOV_FP'!F38</f>
        <v>0</v>
      </c>
      <c r="G47" s="867"/>
      <c r="H47" s="946">
        <f>F47+E47</f>
        <v>0</v>
      </c>
      <c r="I47" s="953"/>
      <c r="K47" s="1054"/>
    </row>
    <row r="48" spans="2:12" s="920" customFormat="1" ht="18" hidden="1">
      <c r="B48" s="952"/>
      <c r="C48" s="1049"/>
      <c r="D48" s="1058"/>
      <c r="E48" s="945"/>
      <c r="F48" s="945"/>
      <c r="G48" s="1040"/>
      <c r="H48" s="946">
        <f>SUM(E48:G48)</f>
        <v>0</v>
      </c>
      <c r="I48" s="953"/>
      <c r="K48" s="1054"/>
      <c r="L48" s="948"/>
    </row>
    <row r="49" spans="2:13" s="920" customFormat="1" ht="18">
      <c r="B49" s="952"/>
      <c r="C49" s="1051"/>
      <c r="D49" s="1060"/>
      <c r="E49" s="945"/>
      <c r="F49" s="945"/>
      <c r="G49" s="1041"/>
      <c r="H49" s="946">
        <f>SUM(E49:G49)</f>
        <v>0</v>
      </c>
      <c r="I49" s="953"/>
      <c r="K49" s="1054"/>
      <c r="L49" s="948"/>
    </row>
    <row r="50" spans="2:13" s="139" customFormat="1" ht="18">
      <c r="B50" s="965"/>
      <c r="C50" s="1267" t="s">
        <v>623</v>
      </c>
      <c r="D50" s="1268"/>
      <c r="E50" s="933">
        <f>E41+E45</f>
        <v>0</v>
      </c>
      <c r="F50" s="933">
        <f>F41+F45</f>
        <v>193400</v>
      </c>
      <c r="G50" s="933">
        <f t="shared" ref="G50:H50" si="3">G41+G45</f>
        <v>0</v>
      </c>
      <c r="H50" s="933">
        <f t="shared" si="3"/>
        <v>193400</v>
      </c>
      <c r="I50" s="966"/>
      <c r="K50" s="1054"/>
    </row>
    <row r="51" spans="2:13" s="926" customFormat="1" ht="15.75">
      <c r="B51" s="923"/>
      <c r="C51" s="203"/>
      <c r="D51" s="931"/>
      <c r="E51" s="915"/>
      <c r="F51" s="915"/>
      <c r="G51" s="915"/>
      <c r="H51" s="137"/>
      <c r="I51" s="925"/>
      <c r="K51" s="1055"/>
    </row>
    <row r="52" spans="2:13" s="920" customFormat="1" ht="18">
      <c r="B52" s="952"/>
      <c r="C52" s="967" t="s">
        <v>267</v>
      </c>
      <c r="D52" s="631" t="s">
        <v>624</v>
      </c>
      <c r="E52" s="968">
        <f>SUM(E53:E58)</f>
        <v>0</v>
      </c>
      <c r="F52" s="968">
        <f>SUM(F53:F58)</f>
        <v>0</v>
      </c>
      <c r="G52" s="968">
        <f>SUM(G53:G58)</f>
        <v>0</v>
      </c>
      <c r="H52" s="968">
        <f>SUM(H53:H58)</f>
        <v>0</v>
      </c>
      <c r="I52" s="953"/>
      <c r="K52" s="1054"/>
    </row>
    <row r="53" spans="2:13" s="219" customFormat="1" ht="18" hidden="1">
      <c r="B53" s="930"/>
      <c r="C53" s="942" t="s">
        <v>52</v>
      </c>
      <c r="D53" s="958" t="s">
        <v>851</v>
      </c>
      <c r="E53" s="969"/>
      <c r="F53" s="959">
        <f>-'FC-8_INV_FINANCIERAS'!H25</f>
        <v>0</v>
      </c>
      <c r="G53" s="867"/>
      <c r="H53" s="946">
        <f>SUM(E53:G53)</f>
        <v>0</v>
      </c>
      <c r="I53" s="947"/>
      <c r="K53" s="1054"/>
      <c r="L53" s="960" t="s">
        <v>850</v>
      </c>
      <c r="M53" s="964"/>
    </row>
    <row r="54" spans="2:13" s="964" customFormat="1" ht="18" hidden="1">
      <c r="B54" s="961"/>
      <c r="C54" s="942" t="s">
        <v>52</v>
      </c>
      <c r="D54" s="958" t="s">
        <v>852</v>
      </c>
      <c r="E54" s="962"/>
      <c r="F54" s="959">
        <f>-'FC-8_INV_FINANCIERAS'!H34</f>
        <v>0</v>
      </c>
      <c r="G54" s="1043"/>
      <c r="H54" s="946">
        <f t="shared" ref="H54:H65" si="4">SUM(E54:G54)</f>
        <v>0</v>
      </c>
      <c r="I54" s="963"/>
      <c r="K54" s="1054"/>
      <c r="L54" s="960" t="s">
        <v>850</v>
      </c>
    </row>
    <row r="55" spans="2:13" s="964" customFormat="1" ht="18" hidden="1">
      <c r="B55" s="961"/>
      <c r="C55" s="942" t="s">
        <v>52</v>
      </c>
      <c r="D55" s="958" t="s">
        <v>853</v>
      </c>
      <c r="E55" s="962"/>
      <c r="F55" s="959">
        <f>-'FC-8_INV_FINANCIERAS'!H49</f>
        <v>0</v>
      </c>
      <c r="G55" s="868"/>
      <c r="H55" s="946">
        <f t="shared" si="4"/>
        <v>0</v>
      </c>
      <c r="I55" s="963"/>
      <c r="K55" s="1054"/>
      <c r="L55" s="960" t="s">
        <v>850</v>
      </c>
    </row>
    <row r="56" spans="2:13" s="964" customFormat="1" ht="18" hidden="1">
      <c r="B56" s="961"/>
      <c r="C56" s="942" t="s">
        <v>52</v>
      </c>
      <c r="D56" s="958" t="s">
        <v>854</v>
      </c>
      <c r="E56" s="962"/>
      <c r="F56" s="959">
        <f>-'FC-8_INV_FINANCIERAS'!H58</f>
        <v>0</v>
      </c>
      <c r="G56" s="868"/>
      <c r="H56" s="946">
        <f t="shared" si="4"/>
        <v>0</v>
      </c>
      <c r="I56" s="963"/>
      <c r="K56" s="1054"/>
      <c r="L56" s="960" t="s">
        <v>850</v>
      </c>
    </row>
    <row r="57" spans="2:13" s="964" customFormat="1" ht="18" hidden="1">
      <c r="B57" s="961"/>
      <c r="C57" s="1049"/>
      <c r="D57" s="1058"/>
      <c r="E57" s="945"/>
      <c r="F57" s="945"/>
      <c r="G57" s="1040"/>
      <c r="H57" s="946">
        <f t="shared" si="4"/>
        <v>0</v>
      </c>
      <c r="I57" s="963"/>
      <c r="K57" s="1054"/>
      <c r="L57" s="971"/>
    </row>
    <row r="58" spans="2:13" s="964" customFormat="1" ht="18" hidden="1">
      <c r="B58" s="961"/>
      <c r="C58" s="1051"/>
      <c r="D58" s="1060"/>
      <c r="E58" s="945"/>
      <c r="F58" s="945"/>
      <c r="G58" s="1041"/>
      <c r="H58" s="946">
        <f>SUM(E58:G58)</f>
        <v>0</v>
      </c>
      <c r="I58" s="963"/>
      <c r="K58" s="1054"/>
      <c r="L58" s="971"/>
    </row>
    <row r="59" spans="2:13" s="920" customFormat="1" ht="18">
      <c r="B59" s="952"/>
      <c r="C59" s="972" t="s">
        <v>269</v>
      </c>
      <c r="D59" s="973" t="s">
        <v>625</v>
      </c>
      <c r="E59" s="974">
        <f>SUM(E60:E67)</f>
        <v>0</v>
      </c>
      <c r="F59" s="974">
        <f>SUM(F60:F67)</f>
        <v>0</v>
      </c>
      <c r="G59" s="974">
        <f>SUM(G60:G67)</f>
        <v>0</v>
      </c>
      <c r="H59" s="974">
        <f>SUM(H60:H67)</f>
        <v>0</v>
      </c>
      <c r="I59" s="953"/>
      <c r="K59" s="1054"/>
    </row>
    <row r="60" spans="2:13" s="964" customFormat="1" ht="18" hidden="1">
      <c r="B60" s="961"/>
      <c r="C60" s="942" t="s">
        <v>56</v>
      </c>
      <c r="D60" s="958" t="s">
        <v>917</v>
      </c>
      <c r="E60" s="962"/>
      <c r="F60" s="959">
        <f>'FC-10_DEUDAS'!M43</f>
        <v>0</v>
      </c>
      <c r="G60" s="1044"/>
      <c r="H60" s="946">
        <f t="shared" si="4"/>
        <v>0</v>
      </c>
      <c r="I60" s="963"/>
      <c r="K60" s="1054"/>
    </row>
    <row r="61" spans="2:13" s="964" customFormat="1" ht="18" hidden="1">
      <c r="B61" s="961"/>
      <c r="C61" s="942"/>
      <c r="D61" s="958" t="s">
        <v>923</v>
      </c>
      <c r="E61" s="962"/>
      <c r="F61" s="976"/>
      <c r="G61" s="1044"/>
      <c r="H61" s="946">
        <f t="shared" si="4"/>
        <v>0</v>
      </c>
      <c r="I61" s="963"/>
      <c r="K61" s="1054"/>
      <c r="L61" s="948" t="s">
        <v>967</v>
      </c>
    </row>
    <row r="62" spans="2:13" s="964" customFormat="1" ht="18" hidden="1">
      <c r="B62" s="961"/>
      <c r="C62" s="942"/>
      <c r="D62" s="958" t="s">
        <v>855</v>
      </c>
      <c r="E62" s="962"/>
      <c r="F62" s="977"/>
      <c r="G62" s="868"/>
      <c r="H62" s="946">
        <f t="shared" si="4"/>
        <v>0</v>
      </c>
      <c r="I62" s="963"/>
      <c r="K62" s="1054"/>
      <c r="L62" s="948" t="s">
        <v>967</v>
      </c>
    </row>
    <row r="63" spans="2:13" s="964" customFormat="1" ht="18" hidden="1">
      <c r="B63" s="961"/>
      <c r="C63" s="942" t="s">
        <v>56</v>
      </c>
      <c r="D63" s="958" t="s">
        <v>856</v>
      </c>
      <c r="E63" s="962"/>
      <c r="F63" s="959">
        <f>'FC-10_DEUDAS'!M75</f>
        <v>0</v>
      </c>
      <c r="G63" s="1044"/>
      <c r="H63" s="946">
        <f t="shared" si="4"/>
        <v>0</v>
      </c>
      <c r="I63" s="963"/>
      <c r="K63" s="1054"/>
    </row>
    <row r="64" spans="2:13" s="964" customFormat="1" ht="18" hidden="1">
      <c r="B64" s="961"/>
      <c r="C64" s="942" t="s">
        <v>56</v>
      </c>
      <c r="D64" s="958" t="s">
        <v>857</v>
      </c>
      <c r="E64" s="962"/>
      <c r="F64" s="959">
        <f>'FC-10_DEUDAS'!M107</f>
        <v>0</v>
      </c>
      <c r="G64" s="868"/>
      <c r="H64" s="946">
        <f t="shared" si="4"/>
        <v>0</v>
      </c>
      <c r="I64" s="963"/>
      <c r="K64" s="1054"/>
    </row>
    <row r="65" spans="2:12" s="964" customFormat="1" ht="18" hidden="1">
      <c r="B65" s="961"/>
      <c r="C65" s="942"/>
      <c r="D65" s="958" t="s">
        <v>858</v>
      </c>
      <c r="E65" s="962"/>
      <c r="F65" s="977"/>
      <c r="G65" s="868"/>
      <c r="H65" s="946">
        <f t="shared" si="4"/>
        <v>0</v>
      </c>
      <c r="I65" s="963"/>
      <c r="K65" s="1054"/>
      <c r="L65" s="948" t="s">
        <v>967</v>
      </c>
    </row>
    <row r="66" spans="2:12" s="964" customFormat="1" ht="18" hidden="1">
      <c r="B66" s="961"/>
      <c r="C66" s="1049"/>
      <c r="D66" s="1058"/>
      <c r="E66" s="945"/>
      <c r="F66" s="945"/>
      <c r="G66" s="1040"/>
      <c r="H66" s="946">
        <f>SUM(E66:G66)</f>
        <v>0</v>
      </c>
      <c r="I66" s="963"/>
      <c r="K66" s="1054"/>
      <c r="L66" s="948"/>
    </row>
    <row r="67" spans="2:12" s="964" customFormat="1" ht="18">
      <c r="B67" s="961"/>
      <c r="C67" s="1051"/>
      <c r="D67" s="1060"/>
      <c r="E67" s="945"/>
      <c r="F67" s="945"/>
      <c r="G67" s="1041"/>
      <c r="H67" s="946">
        <f>SUM(E67:G67)</f>
        <v>0</v>
      </c>
      <c r="I67" s="963"/>
      <c r="K67" s="1054"/>
      <c r="L67" s="948"/>
    </row>
    <row r="68" spans="2:12" s="978" customFormat="1" ht="18">
      <c r="B68" s="927"/>
      <c r="C68" s="1267" t="s">
        <v>626</v>
      </c>
      <c r="D68" s="1268"/>
      <c r="E68" s="933">
        <f>E52+E59</f>
        <v>0</v>
      </c>
      <c r="F68" s="933">
        <f>F52+F59</f>
        <v>0</v>
      </c>
      <c r="G68" s="933">
        <f>G52+G59</f>
        <v>0</v>
      </c>
      <c r="H68" s="933">
        <f>H52+H59</f>
        <v>0</v>
      </c>
      <c r="I68" s="929"/>
      <c r="K68" s="1054"/>
    </row>
    <row r="69" spans="2:12" s="926" customFormat="1" ht="15">
      <c r="B69" s="923"/>
      <c r="C69" s="931"/>
      <c r="D69" s="914"/>
      <c r="E69" s="915"/>
      <c r="F69" s="915"/>
      <c r="G69" s="915"/>
      <c r="H69" s="979"/>
      <c r="I69" s="925"/>
      <c r="K69" s="1055"/>
    </row>
    <row r="70" spans="2:12" s="983" customFormat="1" ht="21" thickBot="1">
      <c r="B70" s="980"/>
      <c r="C70" s="1279" t="s">
        <v>859</v>
      </c>
      <c r="D70" s="1280"/>
      <c r="E70" s="981">
        <f>E68+E50+E39</f>
        <v>2240143.75</v>
      </c>
      <c r="F70" s="981">
        <f>F68+F50+F39</f>
        <v>1574132.18</v>
      </c>
      <c r="G70" s="981">
        <f>G68+G50+G39</f>
        <v>0</v>
      </c>
      <c r="H70" s="981">
        <f>H68+H50+H39</f>
        <v>3814275.9299999997</v>
      </c>
      <c r="I70" s="982"/>
      <c r="K70" s="1054"/>
    </row>
    <row r="71" spans="2:12" s="926" customFormat="1" ht="15.75">
      <c r="B71" s="923"/>
      <c r="C71" s="203"/>
      <c r="D71" s="931"/>
      <c r="E71" s="915"/>
      <c r="F71" s="915"/>
      <c r="G71" s="915"/>
      <c r="H71" s="137"/>
      <c r="I71" s="925"/>
      <c r="K71" s="1055"/>
    </row>
    <row r="72" spans="2:12" s="926" customFormat="1" ht="18">
      <c r="B72" s="923"/>
      <c r="C72" s="1281" t="s">
        <v>628</v>
      </c>
      <c r="D72" s="1282"/>
      <c r="E72" s="984">
        <f>SUM(E73:E80)</f>
        <v>8000</v>
      </c>
      <c r="F72" s="984">
        <f>SUM(F73:F80)</f>
        <v>0</v>
      </c>
      <c r="G72" s="984">
        <f>SUM(G73:G80)</f>
        <v>0</v>
      </c>
      <c r="H72" s="984">
        <f>SUM(H73:H80)</f>
        <v>8000</v>
      </c>
      <c r="I72" s="925"/>
      <c r="K72" s="1054"/>
    </row>
    <row r="73" spans="2:12" s="920" customFormat="1" ht="18" hidden="1">
      <c r="B73" s="952"/>
      <c r="C73" s="942" t="s">
        <v>41</v>
      </c>
      <c r="D73" s="943" t="s">
        <v>860</v>
      </c>
      <c r="E73" s="944">
        <f>IF('FC-3_CPyG'!G20&gt;0,'FC-3_CPyG'!G20,0)</f>
        <v>0</v>
      </c>
      <c r="F73" s="945"/>
      <c r="G73" s="945"/>
      <c r="H73" s="946">
        <f t="shared" ref="H73:H80" si="5">F73+E73</f>
        <v>0</v>
      </c>
      <c r="I73" s="953"/>
      <c r="K73" s="1054"/>
      <c r="L73" s="948" t="s">
        <v>861</v>
      </c>
    </row>
    <row r="74" spans="2:12" s="920" customFormat="1" ht="18" hidden="1">
      <c r="B74" s="952"/>
      <c r="C74" s="942" t="s">
        <v>41</v>
      </c>
      <c r="D74" s="943" t="s">
        <v>862</v>
      </c>
      <c r="E74" s="944">
        <f>'FC-3_CPyG'!G21</f>
        <v>0</v>
      </c>
      <c r="F74" s="945"/>
      <c r="G74" s="945"/>
      <c r="H74" s="946">
        <f t="shared" si="5"/>
        <v>0</v>
      </c>
      <c r="I74" s="953"/>
      <c r="K74" s="1054"/>
      <c r="L74" s="948" t="s">
        <v>863</v>
      </c>
    </row>
    <row r="75" spans="2:12" s="920" customFormat="1" ht="18" hidden="1">
      <c r="B75" s="952"/>
      <c r="C75" s="942" t="s">
        <v>41</v>
      </c>
      <c r="D75" s="943" t="s">
        <v>864</v>
      </c>
      <c r="E75" s="944">
        <f>'FC-3_CPyG'!G41</f>
        <v>8000</v>
      </c>
      <c r="F75" s="945"/>
      <c r="G75" s="945"/>
      <c r="H75" s="946">
        <f t="shared" si="5"/>
        <v>8000</v>
      </c>
      <c r="I75" s="953"/>
      <c r="K75" s="1054"/>
    </row>
    <row r="76" spans="2:12" s="920" customFormat="1" ht="18" hidden="1">
      <c r="B76" s="952"/>
      <c r="C76" s="942" t="s">
        <v>41</v>
      </c>
      <c r="D76" s="943" t="s">
        <v>865</v>
      </c>
      <c r="E76" s="944">
        <f>'FC-3_CPyG'!G42</f>
        <v>0</v>
      </c>
      <c r="F76" s="945"/>
      <c r="G76" s="945"/>
      <c r="H76" s="946">
        <f t="shared" si="5"/>
        <v>0</v>
      </c>
      <c r="I76" s="953"/>
      <c r="K76" s="1054"/>
    </row>
    <row r="77" spans="2:12" s="920" customFormat="1" ht="18" hidden="1">
      <c r="B77" s="952"/>
      <c r="C77" s="942" t="s">
        <v>41</v>
      </c>
      <c r="D77" s="943" t="s">
        <v>866</v>
      </c>
      <c r="E77" s="944">
        <f>IF('FC-3_CPyG'!G45&gt;0,'FC-3_CPyG'!G45,0)</f>
        <v>0</v>
      </c>
      <c r="F77" s="945"/>
      <c r="G77" s="945"/>
      <c r="H77" s="946">
        <f t="shared" si="5"/>
        <v>0</v>
      </c>
      <c r="I77" s="953"/>
      <c r="K77" s="1054"/>
    </row>
    <row r="78" spans="2:12" s="920" customFormat="1" ht="18" hidden="1">
      <c r="B78" s="952"/>
      <c r="C78" s="942" t="s">
        <v>41</v>
      </c>
      <c r="D78" s="943" t="s">
        <v>867</v>
      </c>
      <c r="E78" s="944">
        <f>IF('FC-3_CPyG'!G46&gt;0,'FC-3_CPyG'!G46,0)</f>
        <v>0</v>
      </c>
      <c r="F78" s="945"/>
      <c r="G78" s="945"/>
      <c r="H78" s="946">
        <f t="shared" si="5"/>
        <v>0</v>
      </c>
      <c r="I78" s="953"/>
      <c r="K78" s="1054"/>
    </row>
    <row r="79" spans="2:12" s="920" customFormat="1" ht="18" hidden="1">
      <c r="B79" s="952"/>
      <c r="C79" s="942" t="s">
        <v>41</v>
      </c>
      <c r="D79" s="943" t="s">
        <v>868</v>
      </c>
      <c r="E79" s="944">
        <f>'FC-3_CPyG'!G58</f>
        <v>0</v>
      </c>
      <c r="F79" s="945"/>
      <c r="G79" s="945"/>
      <c r="H79" s="946">
        <f t="shared" si="5"/>
        <v>0</v>
      </c>
      <c r="I79" s="953"/>
      <c r="K79" s="1054"/>
    </row>
    <row r="80" spans="2:12" s="920" customFormat="1" ht="18" hidden="1">
      <c r="B80" s="952"/>
      <c r="C80" s="942" t="s">
        <v>41</v>
      </c>
      <c r="D80" s="943" t="s">
        <v>869</v>
      </c>
      <c r="E80" s="944">
        <f>'FC-3_CPyG'!G63</f>
        <v>0</v>
      </c>
      <c r="F80" s="945"/>
      <c r="G80" s="945"/>
      <c r="H80" s="946">
        <f t="shared" si="5"/>
        <v>0</v>
      </c>
      <c r="I80" s="953"/>
      <c r="K80" s="1054"/>
    </row>
    <row r="81" spans="2:12" s="920" customFormat="1" ht="15.75">
      <c r="B81" s="952"/>
      <c r="C81" s="985"/>
      <c r="D81" s="985"/>
      <c r="E81" s="985"/>
      <c r="F81" s="985"/>
      <c r="G81" s="985"/>
      <c r="H81" s="985"/>
      <c r="I81" s="953"/>
      <c r="K81" s="1056"/>
    </row>
    <row r="82" spans="2:12" s="914" customFormat="1" ht="18.75" thickBot="1">
      <c r="B82" s="986"/>
      <c r="C82" s="1277" t="s">
        <v>870</v>
      </c>
      <c r="D82" s="1278"/>
      <c r="E82" s="987">
        <f>E70+E72</f>
        <v>2248143.75</v>
      </c>
      <c r="F82" s="987">
        <f t="shared" ref="F82:H82" si="6">F70+F72</f>
        <v>1574132.18</v>
      </c>
      <c r="G82" s="987">
        <f t="shared" si="6"/>
        <v>0</v>
      </c>
      <c r="H82" s="987">
        <f t="shared" si="6"/>
        <v>3822275.9299999997</v>
      </c>
      <c r="I82" s="988"/>
      <c r="J82" s="989"/>
      <c r="K82" s="1054"/>
    </row>
    <row r="83" spans="2:12" s="926" customFormat="1" ht="18">
      <c r="B83" s="923"/>
      <c r="C83" s="990"/>
      <c r="D83" s="990"/>
      <c r="E83" s="991"/>
      <c r="F83" s="991"/>
      <c r="G83" s="991"/>
      <c r="H83" s="293"/>
      <c r="I83" s="925"/>
      <c r="K83" s="1055"/>
    </row>
    <row r="84" spans="2:12" s="926" customFormat="1" ht="18">
      <c r="B84" s="923"/>
      <c r="C84" s="990"/>
      <c r="D84" s="990"/>
      <c r="E84" s="991"/>
      <c r="F84" s="991"/>
      <c r="G84" s="991"/>
      <c r="H84" s="293"/>
      <c r="I84" s="925"/>
      <c r="K84" s="1055"/>
    </row>
    <row r="85" spans="2:12" s="935" customFormat="1" ht="23.25">
      <c r="B85" s="932"/>
      <c r="C85" s="1272" t="s">
        <v>630</v>
      </c>
      <c r="D85" s="1273"/>
      <c r="E85" s="992"/>
      <c r="F85" s="992"/>
      <c r="G85" s="992"/>
      <c r="H85" s="993" t="s">
        <v>475</v>
      </c>
      <c r="I85" s="934"/>
      <c r="K85" s="1054"/>
    </row>
    <row r="86" spans="2:12" ht="18">
      <c r="B86" s="930"/>
      <c r="C86" s="84"/>
      <c r="D86" s="931"/>
      <c r="E86" s="915"/>
      <c r="F86" s="915"/>
      <c r="G86" s="915"/>
      <c r="H86" s="87"/>
      <c r="I86" s="921"/>
      <c r="K86" s="1057"/>
    </row>
    <row r="87" spans="2:12" s="941" customFormat="1" ht="18">
      <c r="B87" s="936"/>
      <c r="C87" s="937" t="s">
        <v>184</v>
      </c>
      <c r="D87" s="253" t="s">
        <v>631</v>
      </c>
      <c r="E87" s="938">
        <f>SUM(E88:E91)</f>
        <v>648064.86</v>
      </c>
      <c r="F87" s="938">
        <f>SUM(F88:F91)</f>
        <v>0</v>
      </c>
      <c r="G87" s="938">
        <f>SUM(G88:G91)</f>
        <v>0</v>
      </c>
      <c r="H87" s="938">
        <f>SUM(H88:H91)</f>
        <v>648064.86</v>
      </c>
      <c r="I87" s="940"/>
      <c r="K87" s="1054"/>
    </row>
    <row r="88" spans="2:12" s="926" customFormat="1" ht="18" hidden="1">
      <c r="B88" s="923"/>
      <c r="C88" s="942" t="s">
        <v>41</v>
      </c>
      <c r="D88" s="943" t="s">
        <v>871</v>
      </c>
      <c r="E88" s="944">
        <f>-'FC-3_CPyG'!G30</f>
        <v>648064.86</v>
      </c>
      <c r="F88" s="945"/>
      <c r="G88" s="945"/>
      <c r="H88" s="946">
        <f>F88+E88</f>
        <v>648064.86</v>
      </c>
      <c r="I88" s="925"/>
      <c r="K88" s="1054"/>
    </row>
    <row r="89" spans="2:12" s="926" customFormat="1" ht="18" hidden="1">
      <c r="B89" s="923"/>
      <c r="C89" s="942" t="s">
        <v>41</v>
      </c>
      <c r="D89" s="943" t="s">
        <v>872</v>
      </c>
      <c r="E89" s="944">
        <f>-'FC-3_CPyG'!G33</f>
        <v>0</v>
      </c>
      <c r="F89" s="945"/>
      <c r="G89" s="945"/>
      <c r="H89" s="946">
        <f>F89+E89</f>
        <v>0</v>
      </c>
      <c r="I89" s="925"/>
      <c r="K89" s="1054"/>
    </row>
    <row r="90" spans="2:12" s="926" customFormat="1" ht="18" hidden="1">
      <c r="B90" s="923"/>
      <c r="C90" s="1049"/>
      <c r="D90" s="1058"/>
      <c r="E90" s="945"/>
      <c r="F90" s="945"/>
      <c r="G90" s="1040"/>
      <c r="H90" s="946">
        <f>SUM(E90:G90)</f>
        <v>0</v>
      </c>
      <c r="I90" s="925"/>
      <c r="K90" s="1054"/>
    </row>
    <row r="91" spans="2:12" s="926" customFormat="1" ht="18" hidden="1">
      <c r="B91" s="923"/>
      <c r="C91" s="1051"/>
      <c r="D91" s="1059"/>
      <c r="E91" s="945"/>
      <c r="F91" s="945"/>
      <c r="G91" s="1041"/>
      <c r="H91" s="946">
        <f>SUM(E91:G91)</f>
        <v>0</v>
      </c>
      <c r="I91" s="925"/>
      <c r="K91" s="1054"/>
    </row>
    <row r="92" spans="2:12" s="941" customFormat="1" ht="18">
      <c r="B92" s="936"/>
      <c r="C92" s="994" t="s">
        <v>194</v>
      </c>
      <c r="D92" s="995" t="s">
        <v>632</v>
      </c>
      <c r="E92" s="996">
        <f>SUM(E93:E104)</f>
        <v>2948811.07</v>
      </c>
      <c r="F92" s="996">
        <f t="shared" ref="F92" si="7">SUM(F93:F104)</f>
        <v>0</v>
      </c>
      <c r="G92" s="996">
        <f>SUM(G93:G104)</f>
        <v>0</v>
      </c>
      <c r="H92" s="996">
        <f>SUM(H93:H104)</f>
        <v>2948811.07</v>
      </c>
      <c r="I92" s="940"/>
      <c r="K92" s="1054"/>
    </row>
    <row r="93" spans="2:12" s="926" customFormat="1" ht="18" hidden="1">
      <c r="B93" s="923"/>
      <c r="C93" s="942" t="s">
        <v>873</v>
      </c>
      <c r="D93" s="943" t="s">
        <v>874</v>
      </c>
      <c r="E93" s="944">
        <f>-'FC-3_CPyG'!G22</f>
        <v>0</v>
      </c>
      <c r="F93" s="945"/>
      <c r="G93" s="945"/>
      <c r="H93" s="946">
        <f>SUM(E93:G93)</f>
        <v>0</v>
      </c>
      <c r="I93" s="925"/>
      <c r="K93" s="1054"/>
      <c r="L93" s="948" t="s">
        <v>969</v>
      </c>
    </row>
    <row r="94" spans="2:12" s="926" customFormat="1" ht="18" hidden="1">
      <c r="B94" s="923"/>
      <c r="C94" s="942" t="s">
        <v>41</v>
      </c>
      <c r="D94" s="943" t="s">
        <v>875</v>
      </c>
      <c r="E94" s="944">
        <f>-'FC-3_CPyG'!G26</f>
        <v>0</v>
      </c>
      <c r="F94" s="945"/>
      <c r="G94" s="945"/>
      <c r="H94" s="946">
        <f t="shared" ref="H94:H109" si="8">SUM(E94:G94)</f>
        <v>0</v>
      </c>
      <c r="I94" s="925"/>
      <c r="K94" s="1054"/>
    </row>
    <row r="95" spans="2:12" s="926" customFormat="1" ht="18" hidden="1">
      <c r="B95" s="923"/>
      <c r="C95" s="942" t="s">
        <v>41</v>
      </c>
      <c r="D95" s="943" t="s">
        <v>876</v>
      </c>
      <c r="E95" s="944">
        <f>-'FC-3_CPyG'!G35</f>
        <v>2935811.07</v>
      </c>
      <c r="F95" s="945"/>
      <c r="G95" s="945"/>
      <c r="H95" s="946">
        <f t="shared" si="8"/>
        <v>2935811.07</v>
      </c>
      <c r="I95" s="925"/>
      <c r="K95" s="1054"/>
    </row>
    <row r="96" spans="2:12" s="926" customFormat="1" ht="18" hidden="1">
      <c r="B96" s="923"/>
      <c r="C96" s="942" t="s">
        <v>41</v>
      </c>
      <c r="D96" s="943" t="s">
        <v>877</v>
      </c>
      <c r="E96" s="944">
        <f>-'FC-3_CPyG'!G36</f>
        <v>13000</v>
      </c>
      <c r="F96" s="945"/>
      <c r="G96" s="945"/>
      <c r="H96" s="946">
        <f t="shared" si="8"/>
        <v>13000</v>
      </c>
      <c r="I96" s="925"/>
      <c r="K96" s="1054"/>
    </row>
    <row r="97" spans="2:12" s="926" customFormat="1" ht="18" hidden="1">
      <c r="B97" s="923"/>
      <c r="C97" s="942" t="s">
        <v>41</v>
      </c>
      <c r="D97" s="943" t="s">
        <v>878</v>
      </c>
      <c r="E97" s="944">
        <f>-'FC-3_CPyG'!G38</f>
        <v>0</v>
      </c>
      <c r="F97" s="945"/>
      <c r="G97" s="945"/>
      <c r="H97" s="946">
        <f t="shared" si="8"/>
        <v>0</v>
      </c>
      <c r="I97" s="925"/>
      <c r="K97" s="1054"/>
    </row>
    <row r="98" spans="2:12" s="926" customFormat="1" ht="18" hidden="1">
      <c r="B98" s="923"/>
      <c r="C98" s="942" t="s">
        <v>41</v>
      </c>
      <c r="D98" s="943" t="s">
        <v>879</v>
      </c>
      <c r="E98" s="944">
        <f>-'FC-3_CPyG'!G39</f>
        <v>0</v>
      </c>
      <c r="F98" s="945"/>
      <c r="G98" s="945"/>
      <c r="H98" s="946">
        <f t="shared" si="8"/>
        <v>0</v>
      </c>
      <c r="I98" s="925"/>
      <c r="K98" s="1054"/>
      <c r="L98" s="997"/>
    </row>
    <row r="99" spans="2:12" s="926" customFormat="1" ht="18" hidden="1">
      <c r="B99" s="923"/>
      <c r="C99" s="942" t="s">
        <v>41</v>
      </c>
      <c r="D99" s="943" t="s">
        <v>880</v>
      </c>
      <c r="E99" s="944">
        <f>-'FC-3_CPyG'!G77</f>
        <v>0</v>
      </c>
      <c r="F99" s="945"/>
      <c r="G99" s="945"/>
      <c r="H99" s="946">
        <f t="shared" si="8"/>
        <v>0</v>
      </c>
      <c r="I99" s="925"/>
      <c r="K99" s="1054"/>
    </row>
    <row r="100" spans="2:12" s="926" customFormat="1" ht="18" hidden="1">
      <c r="B100" s="923"/>
      <c r="C100" s="942" t="s">
        <v>47</v>
      </c>
      <c r="D100" s="943" t="s">
        <v>881</v>
      </c>
      <c r="E100" s="944">
        <f>-'FC-3_1_INF_ADIC_CPyG'!G55</f>
        <v>0</v>
      </c>
      <c r="F100" s="945"/>
      <c r="G100" s="945"/>
      <c r="H100" s="946">
        <f t="shared" si="8"/>
        <v>0</v>
      </c>
      <c r="I100" s="925"/>
      <c r="K100" s="1054"/>
    </row>
    <row r="101" spans="2:12" s="926" customFormat="1" ht="18" hidden="1">
      <c r="B101" s="923"/>
      <c r="C101" s="942" t="s">
        <v>47</v>
      </c>
      <c r="D101" s="943" t="s">
        <v>882</v>
      </c>
      <c r="E101" s="944">
        <f>-'FC-3_1_INF_ADIC_CPyG'!G85</f>
        <v>0</v>
      </c>
      <c r="F101" s="945"/>
      <c r="G101" s="945"/>
      <c r="H101" s="946">
        <f t="shared" si="8"/>
        <v>0</v>
      </c>
      <c r="I101" s="925"/>
      <c r="K101" s="1054"/>
    </row>
    <row r="102" spans="2:12" s="1003" customFormat="1" ht="18" hidden="1">
      <c r="B102" s="998"/>
      <c r="C102" s="999"/>
      <c r="D102" s="1000" t="s">
        <v>883</v>
      </c>
      <c r="E102" s="1001"/>
      <c r="F102" s="1043"/>
      <c r="G102" s="1043"/>
      <c r="H102" s="946">
        <f t="shared" si="8"/>
        <v>0</v>
      </c>
      <c r="I102" s="1002"/>
      <c r="K102" s="1054"/>
      <c r="L102" s="948" t="s">
        <v>967</v>
      </c>
    </row>
    <row r="103" spans="2:12" s="926" customFormat="1" ht="18" hidden="1">
      <c r="B103" s="923"/>
      <c r="C103" s="1049"/>
      <c r="D103" s="1058"/>
      <c r="E103" s="945"/>
      <c r="F103" s="945"/>
      <c r="G103" s="1040"/>
      <c r="H103" s="946">
        <f t="shared" si="8"/>
        <v>0</v>
      </c>
      <c r="I103" s="925"/>
      <c r="K103" s="1054"/>
    </row>
    <row r="104" spans="2:12" s="926" customFormat="1" ht="18" hidden="1">
      <c r="B104" s="923"/>
      <c r="C104" s="1051"/>
      <c r="D104" s="1059"/>
      <c r="E104" s="945"/>
      <c r="F104" s="945"/>
      <c r="G104" s="1041"/>
      <c r="H104" s="946">
        <f t="shared" si="8"/>
        <v>0</v>
      </c>
      <c r="I104" s="925"/>
      <c r="K104" s="1054"/>
    </row>
    <row r="105" spans="2:12" s="941" customFormat="1" ht="18">
      <c r="B105" s="936"/>
      <c r="C105" s="994" t="s">
        <v>199</v>
      </c>
      <c r="D105" s="995" t="s">
        <v>390</v>
      </c>
      <c r="E105" s="996">
        <f>SUM(E106:E110)</f>
        <v>0</v>
      </c>
      <c r="F105" s="996">
        <f t="shared" ref="F105:H105" si="9">SUM(F106:F110)</f>
        <v>0</v>
      </c>
      <c r="G105" s="996">
        <f t="shared" si="9"/>
        <v>0</v>
      </c>
      <c r="H105" s="996">
        <f t="shared" si="9"/>
        <v>0</v>
      </c>
      <c r="I105" s="940"/>
      <c r="K105" s="1054"/>
    </row>
    <row r="106" spans="2:12" s="926" customFormat="1" ht="18" hidden="1">
      <c r="B106" s="923"/>
      <c r="C106" s="942" t="s">
        <v>41</v>
      </c>
      <c r="D106" s="943" t="s">
        <v>884</v>
      </c>
      <c r="E106" s="944">
        <f>-'FC-3_CPyG'!G60</f>
        <v>0</v>
      </c>
      <c r="F106" s="945"/>
      <c r="G106" s="945"/>
      <c r="H106" s="946">
        <f>SUM(E106:G106)</f>
        <v>0</v>
      </c>
      <c r="I106" s="925"/>
      <c r="K106" s="1054"/>
    </row>
    <row r="107" spans="2:12" s="926" customFormat="1" ht="18" hidden="1">
      <c r="B107" s="923"/>
      <c r="C107" s="942" t="s">
        <v>41</v>
      </c>
      <c r="D107" s="943" t="s">
        <v>885</v>
      </c>
      <c r="E107" s="944">
        <f>-'FC-3_CPyG'!G61</f>
        <v>0</v>
      </c>
      <c r="F107" s="945"/>
      <c r="G107" s="945"/>
      <c r="H107" s="946">
        <f t="shared" si="8"/>
        <v>0</v>
      </c>
      <c r="I107" s="925"/>
      <c r="K107" s="1054"/>
    </row>
    <row r="108" spans="2:12" s="926" customFormat="1" ht="18" hidden="1">
      <c r="B108" s="923"/>
      <c r="C108" s="942" t="s">
        <v>41</v>
      </c>
      <c r="D108" s="943" t="s">
        <v>886</v>
      </c>
      <c r="E108" s="944">
        <f>-'FC-3_CPyG'!G71</f>
        <v>0</v>
      </c>
      <c r="F108" s="945"/>
      <c r="G108" s="945"/>
      <c r="H108" s="946">
        <f>SUM(E108:G108)</f>
        <v>0</v>
      </c>
      <c r="I108" s="925"/>
      <c r="K108" s="1054"/>
    </row>
    <row r="109" spans="2:12" s="926" customFormat="1" ht="18" hidden="1">
      <c r="B109" s="923"/>
      <c r="C109" s="1049"/>
      <c r="D109" s="1058"/>
      <c r="E109" s="945"/>
      <c r="F109" s="945"/>
      <c r="G109" s="1040"/>
      <c r="H109" s="946">
        <f t="shared" si="8"/>
        <v>0</v>
      </c>
      <c r="I109" s="925"/>
      <c r="K109" s="1054"/>
    </row>
    <row r="110" spans="2:12" s="926" customFormat="1" ht="18" hidden="1">
      <c r="B110" s="923"/>
      <c r="C110" s="1051"/>
      <c r="D110" s="1060"/>
      <c r="E110" s="945"/>
      <c r="F110" s="945"/>
      <c r="G110" s="1041"/>
      <c r="H110" s="946">
        <f>SUM(E110:G110)</f>
        <v>0</v>
      </c>
      <c r="I110" s="925"/>
      <c r="K110" s="1054"/>
    </row>
    <row r="111" spans="2:12" s="941" customFormat="1" ht="18">
      <c r="B111" s="936"/>
      <c r="C111" s="994" t="s">
        <v>203</v>
      </c>
      <c r="D111" s="995" t="s">
        <v>633</v>
      </c>
      <c r="E111" s="996">
        <f>SUM(E112:E114)</f>
        <v>0</v>
      </c>
      <c r="F111" s="996">
        <f>SUM(F112:F114)</f>
        <v>0</v>
      </c>
      <c r="G111" s="996">
        <f>SUM(G112:G114)</f>
        <v>0</v>
      </c>
      <c r="H111" s="996">
        <f>SUM(H112:H114)</f>
        <v>0</v>
      </c>
      <c r="I111" s="940"/>
      <c r="K111" s="1054"/>
    </row>
    <row r="112" spans="2:12" s="926" customFormat="1" ht="17.100000000000001" hidden="1" customHeight="1">
      <c r="B112" s="923"/>
      <c r="C112" s="942" t="s">
        <v>47</v>
      </c>
      <c r="D112" s="943" t="s">
        <v>887</v>
      </c>
      <c r="E112" s="944">
        <f>+'FC-3_1_INF_ADIC_CPyG'!G85</f>
        <v>0</v>
      </c>
      <c r="F112" s="945"/>
      <c r="G112" s="945"/>
      <c r="H112" s="946">
        <f>SUM(E112:G112)</f>
        <v>0</v>
      </c>
      <c r="I112" s="925"/>
      <c r="K112" s="1054"/>
    </row>
    <row r="113" spans="2:12" s="926" customFormat="1" ht="17.100000000000001" hidden="1" customHeight="1">
      <c r="B113" s="923"/>
      <c r="C113" s="1049"/>
      <c r="D113" s="1058"/>
      <c r="E113" s="945"/>
      <c r="F113" s="945"/>
      <c r="G113" s="1040"/>
      <c r="H113" s="946">
        <f>SUM(E113:G113)</f>
        <v>0</v>
      </c>
      <c r="I113" s="925"/>
      <c r="K113" s="1054"/>
    </row>
    <row r="114" spans="2:12" s="926" customFormat="1" ht="18" hidden="1">
      <c r="B114" s="923"/>
      <c r="C114" s="1051"/>
      <c r="D114" s="1060"/>
      <c r="E114" s="945"/>
      <c r="F114" s="945"/>
      <c r="G114" s="1041"/>
      <c r="H114" s="946">
        <f>SUM(E114:G114)</f>
        <v>0</v>
      </c>
      <c r="I114" s="925"/>
      <c r="K114" s="1054"/>
    </row>
    <row r="115" spans="2:12" s="139" customFormat="1" ht="18">
      <c r="B115" s="965"/>
      <c r="C115" s="1267" t="s">
        <v>634</v>
      </c>
      <c r="D115" s="1268"/>
      <c r="E115" s="933">
        <f>E87+E92+E105+E111</f>
        <v>3596875.9299999997</v>
      </c>
      <c r="F115" s="933">
        <f t="shared" ref="F115:H115" si="10">F87+F92+F105+F111</f>
        <v>0</v>
      </c>
      <c r="G115" s="933">
        <f t="shared" si="10"/>
        <v>0</v>
      </c>
      <c r="H115" s="933">
        <f t="shared" si="10"/>
        <v>3596875.9299999997</v>
      </c>
      <c r="I115" s="966"/>
      <c r="K115" s="1054"/>
    </row>
    <row r="116" spans="2:12" s="926" customFormat="1" ht="15.75">
      <c r="B116" s="923"/>
      <c r="C116" s="203"/>
      <c r="D116" s="931"/>
      <c r="E116" s="915"/>
      <c r="F116" s="915"/>
      <c r="G116" s="915"/>
      <c r="H116" s="137"/>
      <c r="I116" s="925"/>
      <c r="K116" s="1055"/>
    </row>
    <row r="117" spans="2:12" s="941" customFormat="1" ht="18">
      <c r="B117" s="936"/>
      <c r="C117" s="937" t="s">
        <v>214</v>
      </c>
      <c r="D117" s="253" t="s">
        <v>635</v>
      </c>
      <c r="E117" s="938">
        <f>SUM(E118:E121)</f>
        <v>0</v>
      </c>
      <c r="F117" s="938">
        <f t="shared" ref="F117:G117" si="11">SUM(F118:F121)</f>
        <v>193400</v>
      </c>
      <c r="G117" s="938">
        <f t="shared" si="11"/>
        <v>0</v>
      </c>
      <c r="H117" s="938">
        <f>SUM(H118:H121)</f>
        <v>193400</v>
      </c>
      <c r="I117" s="940"/>
      <c r="K117" s="1054"/>
    </row>
    <row r="118" spans="2:12" s="926" customFormat="1" ht="18" hidden="1">
      <c r="B118" s="923"/>
      <c r="C118" s="942" t="s">
        <v>50</v>
      </c>
      <c r="D118" s="958" t="s">
        <v>888</v>
      </c>
      <c r="E118" s="945"/>
      <c r="F118" s="970">
        <f>+'FC-7_INF'!F31</f>
        <v>193400</v>
      </c>
      <c r="G118" s="1043"/>
      <c r="H118" s="946">
        <f>SUM(E118:G118)</f>
        <v>193400</v>
      </c>
      <c r="I118" s="925"/>
      <c r="K118" s="1054"/>
    </row>
    <row r="119" spans="2:12" s="920" customFormat="1" ht="18" hidden="1">
      <c r="B119" s="952"/>
      <c r="C119" s="942" t="s">
        <v>50</v>
      </c>
      <c r="D119" s="958" t="s">
        <v>889</v>
      </c>
      <c r="E119" s="945"/>
      <c r="F119" s="970">
        <f>+'FC-7_INF'!H31</f>
        <v>0</v>
      </c>
      <c r="G119" s="1043"/>
      <c r="H119" s="946">
        <f>SUM(E119:G119)</f>
        <v>0</v>
      </c>
      <c r="I119" s="953"/>
      <c r="K119" s="1054"/>
    </row>
    <row r="120" spans="2:12" s="920" customFormat="1" ht="18" hidden="1">
      <c r="B120" s="952"/>
      <c r="C120" s="1049"/>
      <c r="D120" s="1050"/>
      <c r="E120" s="945"/>
      <c r="F120" s="945"/>
      <c r="G120" s="868"/>
      <c r="H120" s="946">
        <f>SUM(E120:G120)</f>
        <v>0</v>
      </c>
      <c r="I120" s="953"/>
      <c r="K120" s="1054"/>
    </row>
    <row r="121" spans="2:12" s="920" customFormat="1" ht="18" hidden="1">
      <c r="B121" s="952"/>
      <c r="C121" s="1051"/>
      <c r="D121" s="1059"/>
      <c r="E121" s="1004"/>
      <c r="F121" s="1004"/>
      <c r="G121" s="1045"/>
      <c r="H121" s="946">
        <f>SUM(E121:G121)</f>
        <v>0</v>
      </c>
      <c r="I121" s="953"/>
      <c r="K121" s="1054"/>
    </row>
    <row r="122" spans="2:12" s="941" customFormat="1" ht="18">
      <c r="B122" s="936"/>
      <c r="C122" s="937" t="s">
        <v>216</v>
      </c>
      <c r="D122" s="253" t="s">
        <v>622</v>
      </c>
      <c r="E122" s="938">
        <f>SUM(E123:E125)</f>
        <v>0</v>
      </c>
      <c r="F122" s="938">
        <f>SUM(F123:F125)</f>
        <v>0</v>
      </c>
      <c r="G122" s="938">
        <f>SUM(G123:G125)</f>
        <v>0</v>
      </c>
      <c r="H122" s="938">
        <f>SUM(H123:H125)</f>
        <v>0</v>
      </c>
      <c r="I122" s="940"/>
      <c r="K122" s="1054"/>
    </row>
    <row r="123" spans="2:12" s="920" customFormat="1" ht="18" hidden="1">
      <c r="B123" s="952"/>
      <c r="C123" s="942" t="s">
        <v>998</v>
      </c>
      <c r="D123" s="958" t="s">
        <v>890</v>
      </c>
      <c r="E123" s="945"/>
      <c r="F123" s="975">
        <f>'FC-4_1_MOV_FP'!G38</f>
        <v>0</v>
      </c>
      <c r="G123" s="1044"/>
      <c r="H123" s="946">
        <f>SUM(E123:G123)</f>
        <v>0</v>
      </c>
      <c r="I123" s="953"/>
      <c r="K123" s="1054"/>
      <c r="L123" s="948"/>
    </row>
    <row r="124" spans="2:12" s="920" customFormat="1" ht="18" hidden="1">
      <c r="B124" s="952"/>
      <c r="C124" s="1049"/>
      <c r="D124" s="1050"/>
      <c r="E124" s="945"/>
      <c r="F124" s="945"/>
      <c r="G124" s="869"/>
      <c r="H124" s="946">
        <f>SUM(E124:G124)</f>
        <v>0</v>
      </c>
      <c r="I124" s="953"/>
      <c r="K124" s="1054"/>
    </row>
    <row r="125" spans="2:12" s="920" customFormat="1" ht="18" hidden="1">
      <c r="B125" s="952"/>
      <c r="C125" s="1051"/>
      <c r="D125" s="1059"/>
      <c r="E125" s="1004"/>
      <c r="F125" s="1004"/>
      <c r="G125" s="1046"/>
      <c r="H125" s="946">
        <f>SUM(E125:G125)</f>
        <v>0</v>
      </c>
      <c r="I125" s="953"/>
      <c r="K125" s="1054"/>
    </row>
    <row r="126" spans="2:12" s="139" customFormat="1" ht="18">
      <c r="B126" s="965"/>
      <c r="C126" s="1267" t="s">
        <v>636</v>
      </c>
      <c r="D126" s="1268"/>
      <c r="E126" s="933">
        <f>+E117+E122</f>
        <v>0</v>
      </c>
      <c r="F126" s="933">
        <f t="shared" ref="F126:H126" si="12">+F117+F122</f>
        <v>193400</v>
      </c>
      <c r="G126" s="933">
        <f t="shared" si="12"/>
        <v>0</v>
      </c>
      <c r="H126" s="933">
        <f t="shared" si="12"/>
        <v>193400</v>
      </c>
      <c r="I126" s="966"/>
      <c r="K126" s="1054"/>
    </row>
    <row r="127" spans="2:12" s="926" customFormat="1" ht="15.75">
      <c r="B127" s="923"/>
      <c r="C127" s="203"/>
      <c r="D127" s="931"/>
      <c r="E127" s="915"/>
      <c r="F127" s="915"/>
      <c r="G127" s="915"/>
      <c r="H127" s="137"/>
      <c r="I127" s="925"/>
      <c r="K127" s="1055"/>
    </row>
    <row r="128" spans="2:12" s="941" customFormat="1" ht="18">
      <c r="B128" s="936"/>
      <c r="C128" s="937" t="s">
        <v>267</v>
      </c>
      <c r="D128" s="253" t="s">
        <v>624</v>
      </c>
      <c r="E128" s="938">
        <f>SUM(E129:E134)</f>
        <v>0</v>
      </c>
      <c r="F128" s="938">
        <f>SUM(F129:F134)</f>
        <v>0</v>
      </c>
      <c r="G128" s="938">
        <f>SUM(G129:G134)</f>
        <v>0</v>
      </c>
      <c r="H128" s="938">
        <f>SUM(H129:H134)</f>
        <v>0</v>
      </c>
      <c r="I128" s="940"/>
      <c r="K128" s="1054"/>
    </row>
    <row r="129" spans="2:12" s="920" customFormat="1" ht="18" hidden="1">
      <c r="B129" s="952"/>
      <c r="C129" s="942" t="s">
        <v>52</v>
      </c>
      <c r="D129" s="958" t="s">
        <v>919</v>
      </c>
      <c r="E129" s="945"/>
      <c r="F129" s="970">
        <f>'FC-8_INV_FINANCIERAS'!G25</f>
        <v>0</v>
      </c>
      <c r="G129" s="869"/>
      <c r="H129" s="946">
        <f>SUM(E129:G129)</f>
        <v>0</v>
      </c>
      <c r="I129" s="953"/>
      <c r="K129" s="1054"/>
    </row>
    <row r="130" spans="2:12" s="920" customFormat="1" ht="18" hidden="1">
      <c r="B130" s="952"/>
      <c r="C130" s="942" t="s">
        <v>52</v>
      </c>
      <c r="D130" s="958" t="s">
        <v>920</v>
      </c>
      <c r="E130" s="945"/>
      <c r="F130" s="970">
        <f>'FC-8_INV_FINANCIERAS'!G34</f>
        <v>0</v>
      </c>
      <c r="G130" s="1044"/>
      <c r="H130" s="946">
        <f t="shared" ref="H130:H134" si="13">SUM(E130:G130)</f>
        <v>0</v>
      </c>
      <c r="I130" s="953"/>
      <c r="K130" s="1054"/>
    </row>
    <row r="131" spans="2:12" s="920" customFormat="1" ht="18" hidden="1">
      <c r="B131" s="952"/>
      <c r="C131" s="942" t="s">
        <v>52</v>
      </c>
      <c r="D131" s="958" t="s">
        <v>921</v>
      </c>
      <c r="E131" s="945"/>
      <c r="F131" s="970">
        <f>'FC-8_INV_FINANCIERAS'!G49</f>
        <v>0</v>
      </c>
      <c r="G131" s="869"/>
      <c r="H131" s="946">
        <f t="shared" si="13"/>
        <v>0</v>
      </c>
      <c r="I131" s="953"/>
      <c r="K131" s="1054"/>
    </row>
    <row r="132" spans="2:12" s="920" customFormat="1" ht="18" hidden="1">
      <c r="B132" s="952"/>
      <c r="C132" s="942" t="s">
        <v>52</v>
      </c>
      <c r="D132" s="958" t="s">
        <v>891</v>
      </c>
      <c r="E132" s="945"/>
      <c r="F132" s="970">
        <f>'FC-8_INV_FINANCIERAS'!G58</f>
        <v>0</v>
      </c>
      <c r="G132" s="869"/>
      <c r="H132" s="946">
        <f t="shared" si="13"/>
        <v>0</v>
      </c>
      <c r="I132" s="953"/>
      <c r="K132" s="1054"/>
    </row>
    <row r="133" spans="2:12" s="920" customFormat="1" ht="18" hidden="1">
      <c r="B133" s="952"/>
      <c r="C133" s="1049"/>
      <c r="D133" s="1050"/>
      <c r="E133" s="945"/>
      <c r="F133" s="945"/>
      <c r="G133" s="869"/>
      <c r="H133" s="946">
        <f t="shared" si="13"/>
        <v>0</v>
      </c>
      <c r="I133" s="953"/>
      <c r="K133" s="1054"/>
    </row>
    <row r="134" spans="2:12" s="920" customFormat="1" ht="18" hidden="1">
      <c r="B134" s="952"/>
      <c r="C134" s="1051"/>
      <c r="D134" s="1059"/>
      <c r="E134" s="1004"/>
      <c r="F134" s="1004"/>
      <c r="G134" s="1046"/>
      <c r="H134" s="946">
        <f t="shared" si="13"/>
        <v>0</v>
      </c>
      <c r="I134" s="953"/>
      <c r="K134" s="1054"/>
    </row>
    <row r="135" spans="2:12" s="920" customFormat="1" ht="18">
      <c r="B135" s="952"/>
      <c r="C135" s="967" t="s">
        <v>269</v>
      </c>
      <c r="D135" s="631" t="s">
        <v>625</v>
      </c>
      <c r="E135" s="968">
        <f>SUM(E136:E143)</f>
        <v>0</v>
      </c>
      <c r="F135" s="968">
        <f>SUM(F136:F143)</f>
        <v>0</v>
      </c>
      <c r="G135" s="968">
        <f>SUM(G136:G143)</f>
        <v>0</v>
      </c>
      <c r="H135" s="968">
        <f>SUM(H136:H143)</f>
        <v>0</v>
      </c>
      <c r="I135" s="953"/>
      <c r="K135" s="1054"/>
    </row>
    <row r="136" spans="2:12" s="920" customFormat="1" ht="18" hidden="1">
      <c r="B136" s="952"/>
      <c r="C136" s="942" t="s">
        <v>56</v>
      </c>
      <c r="D136" s="958" t="s">
        <v>922</v>
      </c>
      <c r="E136" s="945"/>
      <c r="F136" s="975">
        <f>'FC-10_DEUDAS'!N43</f>
        <v>0</v>
      </c>
      <c r="G136" s="1044"/>
      <c r="H136" s="946">
        <f t="shared" ref="H136:H143" si="14">SUM(E136:G136)</f>
        <v>0</v>
      </c>
      <c r="I136" s="953"/>
      <c r="K136" s="1054"/>
    </row>
    <row r="137" spans="2:12" s="920" customFormat="1" ht="18" hidden="1">
      <c r="B137" s="952"/>
      <c r="C137" s="942"/>
      <c r="D137" s="958" t="s">
        <v>892</v>
      </c>
      <c r="E137" s="945"/>
      <c r="F137" s="1047"/>
      <c r="G137" s="1044"/>
      <c r="H137" s="946">
        <f t="shared" si="14"/>
        <v>0</v>
      </c>
      <c r="I137" s="953"/>
      <c r="K137" s="1054"/>
      <c r="L137" s="948" t="s">
        <v>967</v>
      </c>
    </row>
    <row r="138" spans="2:12" s="964" customFormat="1" ht="18" hidden="1">
      <c r="B138" s="961"/>
      <c r="C138" s="942"/>
      <c r="D138" s="958" t="s">
        <v>893</v>
      </c>
      <c r="E138" s="962"/>
      <c r="F138" s="871"/>
      <c r="G138" s="868"/>
      <c r="H138" s="946">
        <f t="shared" si="14"/>
        <v>0</v>
      </c>
      <c r="I138" s="963"/>
      <c r="K138" s="1054"/>
      <c r="L138" s="948" t="s">
        <v>967</v>
      </c>
    </row>
    <row r="139" spans="2:12" s="964" customFormat="1" ht="18" hidden="1">
      <c r="B139" s="961"/>
      <c r="C139" s="942" t="s">
        <v>56</v>
      </c>
      <c r="D139" s="958" t="s">
        <v>894</v>
      </c>
      <c r="E139" s="962"/>
      <c r="F139" s="975">
        <f>'FC-10_DEUDAS'!N75</f>
        <v>0</v>
      </c>
      <c r="G139" s="1044"/>
      <c r="H139" s="946">
        <f t="shared" si="14"/>
        <v>0</v>
      </c>
      <c r="I139" s="963"/>
      <c r="K139" s="1054"/>
      <c r="L139" s="948"/>
    </row>
    <row r="140" spans="2:12" s="920" customFormat="1" ht="18" hidden="1">
      <c r="B140" s="952"/>
      <c r="C140" s="942" t="s">
        <v>56</v>
      </c>
      <c r="D140" s="958" t="s">
        <v>895</v>
      </c>
      <c r="E140" s="945"/>
      <c r="F140" s="975">
        <f>'FC-10_DEUDAS'!N107</f>
        <v>0</v>
      </c>
      <c r="G140" s="869"/>
      <c r="H140" s="946">
        <f t="shared" si="14"/>
        <v>0</v>
      </c>
      <c r="I140" s="953"/>
      <c r="K140" s="1054"/>
    </row>
    <row r="141" spans="2:12" s="920" customFormat="1" ht="18" hidden="1">
      <c r="B141" s="952"/>
      <c r="C141" s="942"/>
      <c r="D141" s="958" t="s">
        <v>896</v>
      </c>
      <c r="E141" s="945"/>
      <c r="F141" s="871"/>
      <c r="G141" s="869"/>
      <c r="H141" s="946">
        <f t="shared" si="14"/>
        <v>0</v>
      </c>
      <c r="I141" s="953"/>
      <c r="K141" s="1054"/>
      <c r="L141" s="1005" t="s">
        <v>967</v>
      </c>
    </row>
    <row r="142" spans="2:12" s="920" customFormat="1" ht="18" hidden="1">
      <c r="B142" s="952"/>
      <c r="C142" s="1049"/>
      <c r="D142" s="1050"/>
      <c r="E142" s="945"/>
      <c r="F142" s="945"/>
      <c r="G142" s="869"/>
      <c r="H142" s="946">
        <f t="shared" si="14"/>
        <v>0</v>
      </c>
      <c r="I142" s="953"/>
      <c r="K142" s="1054"/>
    </row>
    <row r="143" spans="2:12" s="920" customFormat="1" ht="18" hidden="1">
      <c r="B143" s="952"/>
      <c r="C143" s="1051"/>
      <c r="D143" s="1059"/>
      <c r="E143" s="1004"/>
      <c r="F143" s="1004"/>
      <c r="G143" s="1046"/>
      <c r="H143" s="946">
        <f t="shared" si="14"/>
        <v>0</v>
      </c>
      <c r="I143" s="953"/>
      <c r="K143" s="1054"/>
    </row>
    <row r="144" spans="2:12" s="957" customFormat="1" ht="18">
      <c r="B144" s="954"/>
      <c r="C144" s="1274" t="s">
        <v>637</v>
      </c>
      <c r="D144" s="1275"/>
      <c r="E144" s="955">
        <f>+E128+E135</f>
        <v>0</v>
      </c>
      <c r="F144" s="955">
        <f>+F128+F135</f>
        <v>0</v>
      </c>
      <c r="G144" s="955">
        <f>+G128+G135</f>
        <v>0</v>
      </c>
      <c r="H144" s="955">
        <f>+H128+H135</f>
        <v>0</v>
      </c>
      <c r="I144" s="956"/>
      <c r="K144" s="1054"/>
    </row>
    <row r="145" spans="2:12" s="926" customFormat="1" ht="15">
      <c r="B145" s="923"/>
      <c r="C145" s="931"/>
      <c r="D145" s="914"/>
      <c r="E145" s="915"/>
      <c r="F145" s="915"/>
      <c r="G145" s="915"/>
      <c r="H145" s="979"/>
      <c r="I145" s="925"/>
      <c r="K145" s="1055"/>
    </row>
    <row r="146" spans="2:12" s="139" customFormat="1" ht="18.75" thickBot="1">
      <c r="B146" s="965"/>
      <c r="C146" s="1283" t="s">
        <v>897</v>
      </c>
      <c r="D146" s="1284"/>
      <c r="E146" s="1006">
        <f>+E115+E126+E144</f>
        <v>3596875.9299999997</v>
      </c>
      <c r="F146" s="1006">
        <f>+F115+F126+F144</f>
        <v>193400</v>
      </c>
      <c r="G146" s="1006">
        <f>+G115+G126+G144</f>
        <v>0</v>
      </c>
      <c r="H146" s="1006">
        <f>+H115+H126+H144</f>
        <v>3790275.9299999997</v>
      </c>
      <c r="I146" s="966"/>
      <c r="K146" s="1054"/>
    </row>
    <row r="147" spans="2:12" s="926" customFormat="1" ht="15.75">
      <c r="B147" s="923"/>
      <c r="C147" s="203"/>
      <c r="D147" s="931"/>
      <c r="E147" s="915"/>
      <c r="F147" s="915"/>
      <c r="G147" s="915"/>
      <c r="H147" s="137"/>
      <c r="I147" s="925"/>
      <c r="K147" s="1055"/>
    </row>
    <row r="148" spans="2:12" s="926" customFormat="1" ht="18.75" thickBot="1">
      <c r="B148" s="923"/>
      <c r="C148" s="1007" t="s">
        <v>898</v>
      </c>
      <c r="D148" s="1008"/>
      <c r="E148" s="1009">
        <f>E70-E146</f>
        <v>-1356732.1799999997</v>
      </c>
      <c r="F148" s="1009">
        <f>F70-F146</f>
        <v>1380732.18</v>
      </c>
      <c r="G148" s="1009">
        <f>G70-G146</f>
        <v>0</v>
      </c>
      <c r="H148" s="1009">
        <f>H70-H146</f>
        <v>24000</v>
      </c>
      <c r="I148" s="925"/>
      <c r="K148" s="1054"/>
    </row>
    <row r="149" spans="2:12" s="926" customFormat="1" ht="16.5" thickTop="1">
      <c r="B149" s="923"/>
      <c r="C149" s="203"/>
      <c r="D149" s="931"/>
      <c r="E149" s="915"/>
      <c r="F149" s="915"/>
      <c r="G149" s="915"/>
      <c r="H149" s="137"/>
      <c r="I149" s="925"/>
      <c r="K149" s="1055"/>
    </row>
    <row r="150" spans="2:12" s="926" customFormat="1" ht="15.75">
      <c r="B150" s="923"/>
      <c r="C150" s="203"/>
      <c r="D150" s="931"/>
      <c r="E150" s="915"/>
      <c r="F150" s="915"/>
      <c r="G150" s="915"/>
      <c r="H150" s="137"/>
      <c r="I150" s="925"/>
      <c r="K150" s="1055"/>
    </row>
    <row r="151" spans="2:12" s="979" customFormat="1" ht="18">
      <c r="B151" s="1010"/>
      <c r="C151" s="1285" t="s">
        <v>639</v>
      </c>
      <c r="D151" s="1286"/>
      <c r="E151" s="1011">
        <f>SUM(E152:E162)</f>
        <v>32000</v>
      </c>
      <c r="F151" s="1012">
        <f>SUM(F152:F162)</f>
        <v>0</v>
      </c>
      <c r="G151" s="1012">
        <f>SUM(G152:G162)</f>
        <v>0</v>
      </c>
      <c r="H151" s="1012">
        <f>SUM(H152:H162)</f>
        <v>32000</v>
      </c>
      <c r="I151" s="1013"/>
      <c r="K151" s="1054"/>
    </row>
    <row r="152" spans="2:12" s="920" customFormat="1" ht="18" hidden="1">
      <c r="B152" s="952"/>
      <c r="C152" s="942" t="s">
        <v>41</v>
      </c>
      <c r="D152" s="943" t="s">
        <v>860</v>
      </c>
      <c r="E152" s="944">
        <f>IF('FC-3_CPyG'!G20&lt;0,-'FC-3_CPyG'!G20,0)</f>
        <v>0</v>
      </c>
      <c r="F152" s="945"/>
      <c r="G152" s="945"/>
      <c r="H152" s="946">
        <f>SUM(E152:G152)</f>
        <v>0</v>
      </c>
      <c r="I152" s="953"/>
      <c r="K152" s="1054"/>
      <c r="L152" s="920" t="s">
        <v>899</v>
      </c>
    </row>
    <row r="153" spans="2:12" s="926" customFormat="1" ht="18" hidden="1">
      <c r="B153" s="923"/>
      <c r="C153" s="942" t="s">
        <v>41</v>
      </c>
      <c r="D153" s="943" t="s">
        <v>900</v>
      </c>
      <c r="E153" s="944">
        <f>-'FC-3_CPyG'!G26</f>
        <v>0</v>
      </c>
      <c r="F153" s="945"/>
      <c r="G153" s="945"/>
      <c r="H153" s="946">
        <f t="shared" ref="H153:H162" si="15">SUM(E153:G153)</f>
        <v>0</v>
      </c>
      <c r="I153" s="925"/>
      <c r="K153" s="1054"/>
    </row>
    <row r="154" spans="2:12" s="926" customFormat="1" ht="18" hidden="1">
      <c r="B154" s="923"/>
      <c r="C154" s="942" t="s">
        <v>41</v>
      </c>
      <c r="D154" s="943" t="s">
        <v>901</v>
      </c>
      <c r="E154" s="944">
        <f>-'FC-3_CPyG'!G33</f>
        <v>0</v>
      </c>
      <c r="F154" s="945"/>
      <c r="G154" s="945"/>
      <c r="H154" s="946">
        <f t="shared" si="15"/>
        <v>0</v>
      </c>
      <c r="I154" s="925"/>
      <c r="K154" s="1054"/>
    </row>
    <row r="155" spans="2:12" s="926" customFormat="1" ht="18" hidden="1">
      <c r="B155" s="923"/>
      <c r="C155" s="942" t="s">
        <v>41</v>
      </c>
      <c r="D155" s="943" t="s">
        <v>902</v>
      </c>
      <c r="E155" s="944">
        <f>-'FC-3_CPyG'!G37</f>
        <v>0</v>
      </c>
      <c r="F155" s="945"/>
      <c r="G155" s="945"/>
      <c r="H155" s="946">
        <f t="shared" si="15"/>
        <v>0</v>
      </c>
      <c r="I155" s="925"/>
      <c r="K155" s="1054"/>
    </row>
    <row r="156" spans="2:12" s="926" customFormat="1" ht="18" hidden="1">
      <c r="B156" s="923"/>
      <c r="C156" s="942" t="s">
        <v>41</v>
      </c>
      <c r="D156" s="943" t="s">
        <v>903</v>
      </c>
      <c r="E156" s="944">
        <f>-'FC-3_CPyG'!G40</f>
        <v>32000</v>
      </c>
      <c r="F156" s="945"/>
      <c r="G156" s="945"/>
      <c r="H156" s="946">
        <f t="shared" si="15"/>
        <v>32000</v>
      </c>
      <c r="I156" s="925"/>
      <c r="K156" s="1054"/>
    </row>
    <row r="157" spans="2:12" s="926" customFormat="1" ht="18" hidden="1">
      <c r="B157" s="923"/>
      <c r="C157" s="942" t="s">
        <v>41</v>
      </c>
      <c r="D157" s="943" t="s">
        <v>904</v>
      </c>
      <c r="E157" s="944">
        <f>-'FC-3_CPyG'!G44</f>
        <v>0</v>
      </c>
      <c r="F157" s="945"/>
      <c r="G157" s="945"/>
      <c r="H157" s="946">
        <f t="shared" si="15"/>
        <v>0</v>
      </c>
      <c r="I157" s="925"/>
      <c r="K157" s="1054"/>
    </row>
    <row r="158" spans="2:12" s="926" customFormat="1" ht="18" hidden="1">
      <c r="B158" s="923"/>
      <c r="C158" s="1082" t="s">
        <v>41</v>
      </c>
      <c r="D158" s="1083" t="s">
        <v>866</v>
      </c>
      <c r="E158" s="1084">
        <f>IF('FC-3_CPyG'!G45&lt;0,-'FC-3_CPyG'!G45,0)</f>
        <v>0</v>
      </c>
      <c r="F158" s="945"/>
      <c r="G158" s="945"/>
      <c r="H158" s="946">
        <f t="shared" si="15"/>
        <v>0</v>
      </c>
      <c r="I158" s="925"/>
      <c r="K158" s="1085" t="s">
        <v>1002</v>
      </c>
    </row>
    <row r="159" spans="2:12" s="926" customFormat="1" ht="18" hidden="1">
      <c r="B159" s="923"/>
      <c r="C159" s="942" t="s">
        <v>41</v>
      </c>
      <c r="D159" s="943" t="s">
        <v>905</v>
      </c>
      <c r="E159" s="944">
        <f>-'FC-3_CPyG'!G46</f>
        <v>0</v>
      </c>
      <c r="F159" s="945"/>
      <c r="G159" s="945"/>
      <c r="H159" s="946">
        <f t="shared" si="15"/>
        <v>0</v>
      </c>
      <c r="I159" s="925"/>
      <c r="K159" s="1054"/>
      <c r="L159" s="997"/>
    </row>
    <row r="160" spans="2:12" s="926" customFormat="1" ht="18" hidden="1">
      <c r="B160" s="923"/>
      <c r="C160" s="942" t="s">
        <v>41</v>
      </c>
      <c r="D160" s="943" t="s">
        <v>906</v>
      </c>
      <c r="E160" s="944">
        <f>-'FC-3_CPyG'!G62</f>
        <v>0</v>
      </c>
      <c r="F160" s="945"/>
      <c r="G160" s="945"/>
      <c r="H160" s="946">
        <f t="shared" si="15"/>
        <v>0</v>
      </c>
      <c r="I160" s="925"/>
      <c r="K160" s="1054"/>
    </row>
    <row r="161" spans="2:11" s="926" customFormat="1" ht="18" hidden="1">
      <c r="B161" s="923"/>
      <c r="C161" s="942" t="s">
        <v>41</v>
      </c>
      <c r="D161" s="943" t="s">
        <v>907</v>
      </c>
      <c r="E161" s="944">
        <f>-'FC-3_CPyG'!G66</f>
        <v>0</v>
      </c>
      <c r="F161" s="945"/>
      <c r="G161" s="945"/>
      <c r="H161" s="946">
        <f t="shared" si="15"/>
        <v>0</v>
      </c>
      <c r="I161" s="925"/>
      <c r="K161" s="1054"/>
    </row>
    <row r="162" spans="2:11" s="926" customFormat="1" ht="18" hidden="1">
      <c r="B162" s="923"/>
      <c r="C162" s="1014" t="s">
        <v>41</v>
      </c>
      <c r="D162" s="1015" t="s">
        <v>908</v>
      </c>
      <c r="E162" s="1016">
        <f>-'FC-3_CPyG'!G67</f>
        <v>0</v>
      </c>
      <c r="F162" s="1017"/>
      <c r="G162" s="1017"/>
      <c r="H162" s="1018">
        <f t="shared" si="15"/>
        <v>0</v>
      </c>
      <c r="I162" s="925"/>
      <c r="K162" s="1054"/>
    </row>
    <row r="163" spans="2:11" s="926" customFormat="1" ht="15">
      <c r="B163" s="923"/>
      <c r="C163" s="985"/>
      <c r="D163" s="1019"/>
      <c r="E163" s="1019"/>
      <c r="F163" s="1019"/>
      <c r="G163" s="1019"/>
      <c r="H163" s="1019"/>
      <c r="I163" s="925"/>
      <c r="K163" s="1055"/>
    </row>
    <row r="164" spans="2:11" s="926" customFormat="1" ht="18.75" thickBot="1">
      <c r="B164" s="923"/>
      <c r="C164" s="1277" t="s">
        <v>913</v>
      </c>
      <c r="D164" s="1278"/>
      <c r="E164" s="987">
        <f>+E146+E151</f>
        <v>3628875.9299999997</v>
      </c>
      <c r="F164" s="987">
        <f t="shared" ref="F164:H164" si="16">+F146+F151</f>
        <v>193400</v>
      </c>
      <c r="G164" s="987">
        <f t="shared" si="16"/>
        <v>0</v>
      </c>
      <c r="H164" s="987">
        <f t="shared" si="16"/>
        <v>3822275.9299999997</v>
      </c>
      <c r="I164" s="925"/>
      <c r="K164" s="1054"/>
    </row>
    <row r="165" spans="2:11" s="926" customFormat="1" ht="18">
      <c r="B165" s="923"/>
      <c r="C165" s="1020"/>
      <c r="D165" s="1020"/>
      <c r="E165" s="1021"/>
      <c r="F165" s="1021"/>
      <c r="G165" s="1021"/>
      <c r="H165" s="1021"/>
      <c r="I165" s="925"/>
      <c r="K165" s="1055"/>
    </row>
    <row r="166" spans="2:11" s="926" customFormat="1" ht="18.75" thickBot="1">
      <c r="B166" s="923"/>
      <c r="C166" s="1007" t="s">
        <v>911</v>
      </c>
      <c r="D166" s="1008"/>
      <c r="E166" s="1009">
        <f>+E82-E164</f>
        <v>-1380732.1799999997</v>
      </c>
      <c r="F166" s="1009">
        <f>+F82-F164</f>
        <v>1380732.18</v>
      </c>
      <c r="G166" s="1009">
        <f t="shared" ref="G166" si="17">+G82-G164</f>
        <v>0</v>
      </c>
      <c r="H166" s="1009">
        <f>+H82-H164</f>
        <v>0</v>
      </c>
      <c r="I166" s="925"/>
      <c r="K166" s="1054"/>
    </row>
    <row r="167" spans="2:11" s="926" customFormat="1" ht="15.75" thickTop="1">
      <c r="B167" s="923"/>
      <c r="C167" s="985"/>
      <c r="D167" s="985"/>
      <c r="E167" s="1022"/>
      <c r="F167" s="1022"/>
      <c r="G167" s="1022"/>
      <c r="H167" s="1023"/>
      <c r="I167" s="925"/>
      <c r="K167" s="1055"/>
    </row>
    <row r="168" spans="2:11" s="926" customFormat="1" ht="18">
      <c r="B168" s="923"/>
      <c r="C168" s="1287" t="s">
        <v>909</v>
      </c>
      <c r="D168" s="1288"/>
      <c r="E168" s="1024">
        <f>E169+E176+E178+E184+E185+E192</f>
        <v>0</v>
      </c>
      <c r="F168" s="1024">
        <f>F169+F176+F178+F184+F185+F192+F194</f>
        <v>7.2759576141834259E-12</v>
      </c>
      <c r="G168" s="1024">
        <f>G169+G176+G178+G184+G185+G192+G194</f>
        <v>0</v>
      </c>
      <c r="H168" s="1024">
        <f>H169+H176+H178+H184+H185+H192+H194</f>
        <v>7.2759576141834259E-12</v>
      </c>
      <c r="I168" s="925"/>
      <c r="K168" s="1054"/>
    </row>
    <row r="169" spans="2:11" s="926" customFormat="1" ht="18" hidden="1">
      <c r="B169" s="923"/>
      <c r="C169" s="1025" t="s">
        <v>185</v>
      </c>
      <c r="D169" s="958"/>
      <c r="E169" s="1026"/>
      <c r="F169" s="1264">
        <f>SUM(F172:F175)</f>
        <v>32000</v>
      </c>
      <c r="G169" s="1264">
        <f>SUM(G172:G175)</f>
        <v>0</v>
      </c>
      <c r="H169" s="1264">
        <f>F169+G169</f>
        <v>32000</v>
      </c>
      <c r="I169" s="925"/>
      <c r="K169" s="1054"/>
    </row>
    <row r="170" spans="2:11" s="926" customFormat="1" ht="18" hidden="1">
      <c r="B170" s="923"/>
      <c r="C170" s="1027" t="s">
        <v>195</v>
      </c>
      <c r="D170" s="958"/>
      <c r="E170" s="1026"/>
      <c r="F170" s="1265"/>
      <c r="G170" s="1265"/>
      <c r="H170" s="1265"/>
      <c r="I170" s="925"/>
      <c r="K170" s="1054"/>
    </row>
    <row r="171" spans="2:11" s="926" customFormat="1" ht="18" hidden="1">
      <c r="B171" s="923"/>
      <c r="C171" s="1027" t="s">
        <v>200</v>
      </c>
      <c r="D171" s="958"/>
      <c r="E171" s="1026"/>
      <c r="F171" s="1266"/>
      <c r="G171" s="1266"/>
      <c r="H171" s="1266"/>
      <c r="I171" s="925"/>
      <c r="K171" s="1054"/>
    </row>
    <row r="172" spans="2:11" s="926" customFormat="1" ht="18" hidden="1">
      <c r="B172" s="923"/>
      <c r="C172" s="942" t="s">
        <v>50</v>
      </c>
      <c r="D172" s="958" t="s">
        <v>924</v>
      </c>
      <c r="E172" s="945"/>
      <c r="F172" s="970">
        <f>-'FC-7_INF'!G31</f>
        <v>0</v>
      </c>
      <c r="G172" s="1043"/>
      <c r="H172" s="946"/>
      <c r="I172" s="925"/>
      <c r="K172" s="1054"/>
    </row>
    <row r="173" spans="2:11" s="926" customFormat="1" ht="18" hidden="1">
      <c r="B173" s="923"/>
      <c r="C173" s="942" t="s">
        <v>50</v>
      </c>
      <c r="D173" s="958" t="s">
        <v>925</v>
      </c>
      <c r="E173" s="945"/>
      <c r="F173" s="970">
        <f>-'FC-7_INF'!I31</f>
        <v>32000</v>
      </c>
      <c r="G173" s="1043"/>
      <c r="H173" s="946"/>
      <c r="I173" s="925"/>
      <c r="K173" s="1054"/>
    </row>
    <row r="174" spans="2:11" s="926" customFormat="1" ht="18" hidden="1">
      <c r="B174" s="923"/>
      <c r="C174" s="942" t="s">
        <v>50</v>
      </c>
      <c r="D174" s="958" t="s">
        <v>926</v>
      </c>
      <c r="E174" s="945"/>
      <c r="F174" s="970">
        <f>-'FC-7_INF'!J31</f>
        <v>0</v>
      </c>
      <c r="G174" s="1043"/>
      <c r="H174" s="946"/>
      <c r="I174" s="925"/>
      <c r="K174" s="1054"/>
    </row>
    <row r="175" spans="2:11" s="926" customFormat="1" ht="18" hidden="1">
      <c r="B175" s="923"/>
      <c r="C175" s="942" t="s">
        <v>50</v>
      </c>
      <c r="D175" s="958" t="s">
        <v>927</v>
      </c>
      <c r="E175" s="945"/>
      <c r="F175" s="970">
        <f>-'FC-7_INF'!L31</f>
        <v>0</v>
      </c>
      <c r="G175" s="1043"/>
      <c r="H175" s="946"/>
      <c r="I175" s="925"/>
      <c r="K175" s="1054"/>
    </row>
    <row r="176" spans="2:11" s="926" customFormat="1" ht="18" hidden="1">
      <c r="B176" s="923"/>
      <c r="C176" s="1027" t="s">
        <v>53</v>
      </c>
      <c r="D176" s="958"/>
      <c r="E176" s="945"/>
      <c r="F176" s="1028">
        <f>F177</f>
        <v>0</v>
      </c>
      <c r="G176" s="1028">
        <f>G177</f>
        <v>0</v>
      </c>
      <c r="H176" s="1029">
        <f>F176+G176</f>
        <v>0</v>
      </c>
      <c r="I176" s="925"/>
      <c r="K176" s="1054"/>
    </row>
    <row r="177" spans="2:11" s="926" customFormat="1" ht="18" hidden="1">
      <c r="B177" s="923"/>
      <c r="C177" s="942" t="s">
        <v>52</v>
      </c>
      <c r="D177" s="958" t="s">
        <v>420</v>
      </c>
      <c r="E177" s="945"/>
      <c r="F177" s="970">
        <f>-'FC-8_INV_FINANCIERAS'!I25-'FC-8_INV_FINANCIERAS'!I34-'FC-8_INV_FINANCIERAS'!I49-'FC-8_INV_FINANCIERAS'!I58</f>
        <v>0</v>
      </c>
      <c r="G177" s="1043"/>
      <c r="H177" s="946"/>
      <c r="I177" s="925"/>
      <c r="K177" s="1054"/>
    </row>
    <row r="178" spans="2:11" s="926" customFormat="1" ht="18" hidden="1">
      <c r="B178" s="923"/>
      <c r="C178" s="1027" t="s">
        <v>928</v>
      </c>
      <c r="D178" s="958"/>
      <c r="E178" s="945"/>
      <c r="F178" s="1028">
        <f>SUM(F179:F183)</f>
        <v>5577.0499999999956</v>
      </c>
      <c r="G178" s="1028">
        <f>SUM(G179:G183)</f>
        <v>0</v>
      </c>
      <c r="H178" s="1029">
        <f>F178+G178</f>
        <v>5577.0499999999956</v>
      </c>
      <c r="I178" s="925"/>
      <c r="K178" s="1054"/>
    </row>
    <row r="179" spans="2:11" s="926" customFormat="1" ht="18" hidden="1">
      <c r="B179" s="923"/>
      <c r="C179" s="942" t="s">
        <v>938</v>
      </c>
      <c r="D179" s="958" t="s">
        <v>932</v>
      </c>
      <c r="E179" s="945"/>
      <c r="F179" s="970">
        <f>'FC-4_ACTIVO'!F51-'FC-4_ACTIVO'!G51</f>
        <v>0</v>
      </c>
      <c r="G179" s="1043"/>
      <c r="H179" s="946"/>
      <c r="I179" s="925"/>
      <c r="K179" s="1054"/>
    </row>
    <row r="180" spans="2:11" s="926" customFormat="1" ht="18" hidden="1">
      <c r="B180" s="923"/>
      <c r="C180" s="942" t="s">
        <v>938</v>
      </c>
      <c r="D180" s="958" t="s">
        <v>933</v>
      </c>
      <c r="E180" s="945"/>
      <c r="F180" s="970">
        <f>'FC-4_ACTIVO'!F52-'FC-4_ACTIVO'!G52</f>
        <v>0</v>
      </c>
      <c r="G180" s="1043"/>
      <c r="H180" s="946"/>
      <c r="I180" s="925"/>
      <c r="K180" s="1054"/>
    </row>
    <row r="181" spans="2:11" s="926" customFormat="1" ht="18" hidden="1">
      <c r="B181" s="923"/>
      <c r="C181" s="942" t="s">
        <v>938</v>
      </c>
      <c r="D181" s="958" t="s">
        <v>934</v>
      </c>
      <c r="E181" s="945"/>
      <c r="F181" s="970">
        <f>'FC-4_ACTIVO'!F65-'FC-4_ACTIVO'!G65</f>
        <v>29577.049999999988</v>
      </c>
      <c r="G181" s="1043"/>
      <c r="H181" s="946"/>
      <c r="I181" s="925"/>
      <c r="K181" s="1054"/>
    </row>
    <row r="182" spans="2:11" s="926" customFormat="1" ht="18" hidden="1">
      <c r="B182" s="923"/>
      <c r="C182" s="942" t="s">
        <v>938</v>
      </c>
      <c r="D182" s="958" t="s">
        <v>935</v>
      </c>
      <c r="E182" s="945"/>
      <c r="F182" s="970">
        <f>'FC-4_ACTIVO'!F89-'FC-4_ACTIVO'!G89</f>
        <v>0</v>
      </c>
      <c r="G182" s="1043"/>
      <c r="H182" s="946"/>
      <c r="I182" s="925"/>
      <c r="K182" s="1054"/>
    </row>
    <row r="183" spans="2:11" s="926" customFormat="1" ht="18" hidden="1">
      <c r="B183" s="923"/>
      <c r="C183" s="942" t="s">
        <v>938</v>
      </c>
      <c r="D183" s="958" t="s">
        <v>936</v>
      </c>
      <c r="E183" s="945"/>
      <c r="F183" s="970">
        <f>'FC-4_ACTIVO'!F90-'FC-4_ACTIVO'!G90</f>
        <v>-23999.999999999993</v>
      </c>
      <c r="G183" s="1043"/>
      <c r="H183" s="946"/>
      <c r="I183" s="925"/>
      <c r="K183" s="1054"/>
    </row>
    <row r="184" spans="2:11" s="926" customFormat="1" ht="18" hidden="1">
      <c r="B184" s="923"/>
      <c r="C184" s="1030" t="s">
        <v>929</v>
      </c>
      <c r="D184" s="958"/>
      <c r="E184" s="945"/>
      <c r="F184" s="1028">
        <f>'FC-4_ACTIVO'!F48-'FC-4_ACTIVO'!G48</f>
        <v>0</v>
      </c>
      <c r="G184" s="1043"/>
      <c r="H184" s="1029">
        <f>F184+G184</f>
        <v>0</v>
      </c>
      <c r="I184" s="925"/>
      <c r="K184" s="1054"/>
    </row>
    <row r="185" spans="2:11" s="926" customFormat="1" ht="18" hidden="1">
      <c r="B185" s="923"/>
      <c r="C185" s="1027" t="s">
        <v>930</v>
      </c>
      <c r="D185" s="958"/>
      <c r="E185" s="945"/>
      <c r="F185" s="1028">
        <f>SUM(F186:F191)</f>
        <v>-29577.049999999988</v>
      </c>
      <c r="G185" s="1028">
        <f>SUM(G187:G189)</f>
        <v>0</v>
      </c>
      <c r="H185" s="1029">
        <f>F185+G185</f>
        <v>-29577.049999999988</v>
      </c>
      <c r="I185" s="925"/>
      <c r="K185" s="1054"/>
    </row>
    <row r="186" spans="2:11" s="926" customFormat="1" ht="18" hidden="1">
      <c r="B186" s="923"/>
      <c r="C186" s="942" t="s">
        <v>939</v>
      </c>
      <c r="D186" s="958" t="s">
        <v>996</v>
      </c>
      <c r="E186" s="945"/>
      <c r="F186" s="970">
        <f>'FC-4_PASIVO'!G44-'FC-4_PASIVO'!F44</f>
        <v>0</v>
      </c>
      <c r="G186" s="1028"/>
      <c r="H186" s="1029"/>
      <c r="I186" s="925"/>
      <c r="K186" s="1054"/>
    </row>
    <row r="187" spans="2:11" s="926" customFormat="1" ht="18" hidden="1">
      <c r="B187" s="923"/>
      <c r="C187" s="942" t="s">
        <v>939</v>
      </c>
      <c r="D187" s="958" t="s">
        <v>937</v>
      </c>
      <c r="E187" s="945"/>
      <c r="F187" s="1086">
        <f>'FC-9_TRANS_SUBV'!K33</f>
        <v>0</v>
      </c>
      <c r="G187" s="1043"/>
      <c r="H187" s="946"/>
      <c r="I187" s="925"/>
      <c r="K187" s="1085" t="s">
        <v>1001</v>
      </c>
    </row>
    <row r="188" spans="2:11" s="926" customFormat="1" ht="18" hidden="1">
      <c r="B188" s="923"/>
      <c r="C188" s="942" t="s">
        <v>939</v>
      </c>
      <c r="D188" s="958" t="s">
        <v>940</v>
      </c>
      <c r="E188" s="945"/>
      <c r="F188" s="970">
        <f>'FC-4_PASIVO'!G57-'FC-4_PASIVO'!F57</f>
        <v>0</v>
      </c>
      <c r="G188" s="1043"/>
      <c r="H188" s="946"/>
      <c r="I188" s="925"/>
      <c r="K188" s="1054"/>
    </row>
    <row r="189" spans="2:11" s="926" customFormat="1" ht="18" hidden="1">
      <c r="B189" s="923"/>
      <c r="C189" s="942" t="s">
        <v>939</v>
      </c>
      <c r="D189" s="958" t="s">
        <v>941</v>
      </c>
      <c r="E189" s="945"/>
      <c r="F189" s="970">
        <f>'FC-4_PASIVO'!G73-'FC-4_PASIVO'!F73</f>
        <v>-29577.049999999988</v>
      </c>
      <c r="G189" s="1043"/>
      <c r="H189" s="946"/>
      <c r="I189" s="925"/>
      <c r="K189" s="1054"/>
    </row>
    <row r="190" spans="2:11" s="926" customFormat="1" ht="18" hidden="1">
      <c r="B190" s="923"/>
      <c r="C190" s="942" t="s">
        <v>939</v>
      </c>
      <c r="D190" s="958" t="s">
        <v>997</v>
      </c>
      <c r="E190" s="945"/>
      <c r="F190" s="970">
        <f>'FC-4_PASIVO'!G63-'FC-4_PASIVO'!F63</f>
        <v>0</v>
      </c>
      <c r="G190" s="1043"/>
      <c r="H190" s="946"/>
      <c r="I190" s="925"/>
      <c r="K190" s="1054"/>
    </row>
    <row r="191" spans="2:11" s="926" customFormat="1" ht="18" hidden="1">
      <c r="B191" s="923"/>
      <c r="C191" s="942" t="s">
        <v>939</v>
      </c>
      <c r="D191" s="958" t="s">
        <v>1000</v>
      </c>
      <c r="E191" s="945"/>
      <c r="F191" s="970">
        <f>'FC-4_PASIVO'!G83-'FC-4_PASIVO'!F83</f>
        <v>0</v>
      </c>
      <c r="G191" s="1043"/>
      <c r="H191" s="946"/>
      <c r="I191" s="925"/>
      <c r="K191" s="1054"/>
    </row>
    <row r="192" spans="2:11" s="926" customFormat="1" ht="18" hidden="1">
      <c r="B192" s="923"/>
      <c r="C192" s="1027" t="s">
        <v>931</v>
      </c>
      <c r="D192" s="958"/>
      <c r="E192" s="945"/>
      <c r="F192" s="1028">
        <f>F193</f>
        <v>-8000</v>
      </c>
      <c r="G192" s="1028">
        <f>G193</f>
        <v>0</v>
      </c>
      <c r="H192" s="1029">
        <f>F192+G192</f>
        <v>-8000</v>
      </c>
      <c r="I192" s="925"/>
      <c r="K192" s="1054"/>
    </row>
    <row r="193" spans="2:11" s="926" customFormat="1" ht="18" hidden="1">
      <c r="B193" s="923"/>
      <c r="C193" s="942" t="s">
        <v>939</v>
      </c>
      <c r="D193" s="958" t="s">
        <v>910</v>
      </c>
      <c r="E193" s="945"/>
      <c r="F193" s="970">
        <f>'FC-9_TRANS_SUBV'!J33</f>
        <v>-8000</v>
      </c>
      <c r="G193" s="970">
        <v>0</v>
      </c>
      <c r="H193" s="946"/>
      <c r="I193" s="925"/>
      <c r="K193" s="1054"/>
    </row>
    <row r="194" spans="2:11" s="926" customFormat="1" ht="18" hidden="1">
      <c r="B194" s="923"/>
      <c r="C194" s="1027" t="s">
        <v>971</v>
      </c>
      <c r="D194" s="958"/>
      <c r="E194" s="945"/>
      <c r="F194" s="1028">
        <f>SUM(F195:F199)</f>
        <v>0</v>
      </c>
      <c r="G194" s="1028">
        <f>SUM(G195:G199)</f>
        <v>0</v>
      </c>
      <c r="H194" s="1028">
        <f>SUM(F194:G194)</f>
        <v>0</v>
      </c>
      <c r="I194" s="925"/>
      <c r="K194" s="1054"/>
    </row>
    <row r="195" spans="2:11" s="926" customFormat="1" ht="18" hidden="1">
      <c r="B195" s="923"/>
      <c r="C195" s="1049"/>
      <c r="D195" s="1050"/>
      <c r="E195" s="945"/>
      <c r="F195" s="1043"/>
      <c r="G195" s="1043"/>
      <c r="H195" s="946"/>
      <c r="I195" s="925"/>
      <c r="K195" s="1054"/>
    </row>
    <row r="196" spans="2:11" s="926" customFormat="1" ht="18" hidden="1">
      <c r="B196" s="923"/>
      <c r="C196" s="1049"/>
      <c r="D196" s="1050"/>
      <c r="E196" s="945"/>
      <c r="F196" s="1043"/>
      <c r="G196" s="1043"/>
      <c r="H196" s="946"/>
      <c r="I196" s="925"/>
      <c r="K196" s="1054"/>
    </row>
    <row r="197" spans="2:11" s="926" customFormat="1" ht="18" hidden="1">
      <c r="B197" s="923"/>
      <c r="C197" s="1049"/>
      <c r="D197" s="1050"/>
      <c r="E197" s="945"/>
      <c r="F197" s="1043"/>
      <c r="G197" s="1043"/>
      <c r="H197" s="946"/>
      <c r="I197" s="925"/>
      <c r="K197" s="1054"/>
    </row>
    <row r="198" spans="2:11" s="926" customFormat="1" ht="18" hidden="1">
      <c r="B198" s="923"/>
      <c r="C198" s="1051"/>
      <c r="D198" s="1050"/>
      <c r="E198" s="1004"/>
      <c r="F198" s="1045"/>
      <c r="G198" s="1045"/>
      <c r="H198" s="946"/>
      <c r="I198" s="925"/>
      <c r="K198" s="1054"/>
    </row>
    <row r="199" spans="2:11" s="926" customFormat="1" ht="18.75" hidden="1" thickBot="1">
      <c r="B199" s="923"/>
      <c r="C199" s="1052"/>
      <c r="D199" s="1053"/>
      <c r="E199" s="1031"/>
      <c r="F199" s="1048"/>
      <c r="G199" s="1048"/>
      <c r="H199" s="1032"/>
      <c r="I199" s="925"/>
      <c r="K199" s="1054"/>
    </row>
    <row r="200" spans="2:11" s="926" customFormat="1" ht="15">
      <c r="B200" s="923"/>
      <c r="C200" s="985"/>
      <c r="D200" s="1019"/>
      <c r="E200" s="1019"/>
      <c r="F200" s="1019"/>
      <c r="G200" s="1019"/>
      <c r="H200" s="1023"/>
      <c r="I200" s="925"/>
    </row>
    <row r="201" spans="2:11" ht="15.75" thickBot="1">
      <c r="B201" s="1033"/>
      <c r="C201" s="1276"/>
      <c r="D201" s="1276"/>
      <c r="E201" s="1034"/>
      <c r="F201" s="1034"/>
      <c r="G201" s="1034"/>
      <c r="H201" s="109"/>
      <c r="I201" s="1035"/>
      <c r="K201" s="926"/>
    </row>
    <row r="202" spans="2:11" ht="12.75"/>
    <row r="203" spans="2:11" ht="12.75">
      <c r="C203" s="1036" t="s">
        <v>72</v>
      </c>
      <c r="H203" s="86" t="s">
        <v>970</v>
      </c>
    </row>
    <row r="204" spans="2:11" ht="12.75">
      <c r="C204" s="1036" t="s">
        <v>73</v>
      </c>
    </row>
    <row r="205" spans="2:11" ht="12.75">
      <c r="C205" s="1036" t="s">
        <v>74</v>
      </c>
    </row>
    <row r="206" spans="2:11" ht="12.75">
      <c r="C206" s="1036" t="s">
        <v>75</v>
      </c>
    </row>
    <row r="207" spans="2:11" ht="12.75">
      <c r="C207" s="1036" t="s">
        <v>76</v>
      </c>
    </row>
    <row r="208" spans="2:11" ht="12.75"/>
    <row r="209" spans="3:7" ht="12.75"/>
    <row r="210" spans="3:7" ht="12.75"/>
    <row r="211" spans="3:7" s="920" customFormat="1" ht="20.25">
      <c r="C211" s="1037" t="s">
        <v>944</v>
      </c>
      <c r="D211" s="89"/>
      <c r="E211" s="913"/>
      <c r="F211" s="1038"/>
      <c r="G211" s="1038"/>
    </row>
    <row r="212" spans="3:7" ht="12.75"/>
    <row r="213" spans="3:7" ht="12.75"/>
    <row r="214" spans="3:7" ht="18.75" thickBot="1">
      <c r="C214" s="1007" t="s">
        <v>911</v>
      </c>
      <c r="D214" s="1008"/>
      <c r="E214" s="1009"/>
    </row>
    <row r="215" spans="3:7" ht="23.1" customHeight="1" thickTop="1">
      <c r="D215" s="89" t="s">
        <v>945</v>
      </c>
      <c r="E215" s="913">
        <f>+E166</f>
        <v>-1380732.1799999997</v>
      </c>
    </row>
    <row r="216" spans="3:7" ht="23.1" customHeight="1">
      <c r="D216" s="89" t="s">
        <v>946</v>
      </c>
      <c r="E216" s="913">
        <f>+'FC-3_CPyG'!G84</f>
        <v>-1380732.1799999997</v>
      </c>
    </row>
    <row r="217" spans="3:7" ht="23.1" customHeight="1">
      <c r="E217" s="1039" t="str">
        <f>IF(ROUND(E215-E216,2)=0,"OK","Mal, revísalo")</f>
        <v>OK</v>
      </c>
    </row>
    <row r="219" spans="3:7" ht="23.1" customHeight="1">
      <c r="D219" s="89" t="s">
        <v>947</v>
      </c>
      <c r="E219" s="913">
        <f>+H166</f>
        <v>0</v>
      </c>
    </row>
    <row r="220" spans="3:7" ht="23.1" customHeight="1">
      <c r="D220" s="89" t="s">
        <v>948</v>
      </c>
      <c r="E220" s="913">
        <f>+H168</f>
        <v>7.2759576141834259E-12</v>
      </c>
    </row>
    <row r="221" spans="3:7" ht="23.1" customHeight="1">
      <c r="E221" s="1039" t="str">
        <f>IF(ROUND(E219+E220,2)=0,"OK","Revísalo")</f>
        <v>OK</v>
      </c>
    </row>
  </sheetData>
  <sheetProtection password="C494" sheet="1" objects="1" scenarios="1" selectLockedCells="1" selectUnlockedCells="1"/>
  <mergeCells count="22">
    <mergeCell ref="C201:D201"/>
    <mergeCell ref="C164:D164"/>
    <mergeCell ref="C68:D68"/>
    <mergeCell ref="C70:D70"/>
    <mergeCell ref="C72:D72"/>
    <mergeCell ref="C82:D82"/>
    <mergeCell ref="C85:D85"/>
    <mergeCell ref="C115:D115"/>
    <mergeCell ref="C126:D126"/>
    <mergeCell ref="C144:D144"/>
    <mergeCell ref="C146:D146"/>
    <mergeCell ref="C151:D151"/>
    <mergeCell ref="C168:D168"/>
    <mergeCell ref="F169:F171"/>
    <mergeCell ref="H169:H171"/>
    <mergeCell ref="G169:G171"/>
    <mergeCell ref="C50:D50"/>
    <mergeCell ref="H6:H7"/>
    <mergeCell ref="D9:H9"/>
    <mergeCell ref="C12:D12"/>
    <mergeCell ref="C14:D14"/>
    <mergeCell ref="C39:D3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55"/>
  <sheetViews>
    <sheetView workbookViewId="0">
      <selection activeCell="H41" sqref="H41"/>
    </sheetView>
  </sheetViews>
  <sheetFormatPr baseColWidth="10" defaultColWidth="10.6640625" defaultRowHeight="23.1" customHeight="1"/>
  <cols>
    <col min="1" max="1" width="4.6640625" style="2" bestFit="1" customWidth="1"/>
    <col min="2" max="2" width="3.33203125" style="2" customWidth="1"/>
    <col min="3" max="3" width="12.33203125" style="2" customWidth="1"/>
    <col min="4" max="4" width="7.5546875" style="2" customWidth="1"/>
    <col min="5" max="5" width="15.33203125" style="2" customWidth="1"/>
    <col min="6" max="7" width="18.33203125" style="2" customWidth="1"/>
    <col min="8" max="8" width="13" style="2" customWidth="1"/>
    <col min="9" max="9" width="3.5546875" style="2" customWidth="1"/>
    <col min="10" max="16384" width="10.6640625" style="2"/>
  </cols>
  <sheetData>
    <row r="2" spans="1:24" ht="23.1" customHeight="1">
      <c r="D2" s="12" t="s">
        <v>31</v>
      </c>
    </row>
    <row r="3" spans="1:24" ht="23.1" customHeight="1">
      <c r="D3" s="12" t="s">
        <v>32</v>
      </c>
    </row>
    <row r="4" spans="1:24" ht="23.1" customHeight="1" thickBot="1">
      <c r="A4" s="875" t="s">
        <v>950</v>
      </c>
    </row>
    <row r="5" spans="1:24" ht="9" customHeight="1">
      <c r="B5" s="4"/>
      <c r="C5" s="5"/>
      <c r="D5" s="5"/>
      <c r="E5" s="5"/>
      <c r="F5" s="5"/>
      <c r="G5" s="5"/>
      <c r="H5" s="5"/>
      <c r="I5" s="6"/>
      <c r="K5" s="386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8"/>
    </row>
    <row r="6" spans="1:24" ht="30" customHeight="1">
      <c r="B6" s="7"/>
      <c r="C6" s="1" t="s">
        <v>0</v>
      </c>
      <c r="D6" s="20"/>
      <c r="E6" s="20"/>
      <c r="F6" s="20"/>
      <c r="H6" s="1110">
        <f>ejercicio</f>
        <v>2019</v>
      </c>
      <c r="I6" s="8"/>
      <c r="K6" s="389"/>
      <c r="L6" s="390" t="s">
        <v>689</v>
      </c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2"/>
    </row>
    <row r="7" spans="1:24" ht="30" customHeight="1">
      <c r="B7" s="7"/>
      <c r="C7" s="1" t="s">
        <v>1</v>
      </c>
      <c r="H7" s="1110">
        <v>2018</v>
      </c>
      <c r="I7" s="8"/>
      <c r="K7" s="389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2"/>
    </row>
    <row r="8" spans="1:24" ht="30" customHeight="1">
      <c r="B8" s="7"/>
      <c r="H8" s="13"/>
      <c r="I8" s="8"/>
      <c r="K8" s="389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2"/>
    </row>
    <row r="9" spans="1:24" ht="30" customHeight="1">
      <c r="B9" s="7"/>
      <c r="C9" s="35" t="s">
        <v>2</v>
      </c>
      <c r="D9" s="1115" t="str">
        <f>Entidad</f>
        <v>TEA TENERIFE ESPACIO DE LAS ARTES</v>
      </c>
      <c r="E9" s="1115"/>
      <c r="F9" s="1115"/>
      <c r="G9" s="1115"/>
      <c r="H9" s="1115"/>
      <c r="I9" s="8"/>
      <c r="K9" s="393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5"/>
    </row>
    <row r="10" spans="1:24" ht="7.35" customHeight="1">
      <c r="B10" s="7"/>
      <c r="H10" s="9"/>
      <c r="I10" s="8"/>
      <c r="K10" s="389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2"/>
    </row>
    <row r="11" spans="1:24" s="1" customFormat="1" ht="30" customHeight="1">
      <c r="B11" s="21"/>
      <c r="C11" s="10" t="s">
        <v>71</v>
      </c>
      <c r="D11" s="10"/>
      <c r="E11" s="10"/>
      <c r="F11" s="10"/>
      <c r="G11" s="10"/>
      <c r="H11" s="10"/>
      <c r="I11" s="22"/>
      <c r="K11" s="396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8"/>
    </row>
    <row r="12" spans="1:24" ht="23.1" customHeight="1">
      <c r="B12" s="7"/>
      <c r="I12" s="8"/>
      <c r="K12" s="396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8"/>
    </row>
    <row r="13" spans="1:24" ht="23.1" customHeight="1">
      <c r="B13" s="7"/>
      <c r="C13" s="11" t="s">
        <v>669</v>
      </c>
      <c r="D13" s="11"/>
      <c r="E13" s="11"/>
      <c r="F13" s="11"/>
      <c r="G13" s="11"/>
      <c r="H13" s="521">
        <f>+H15+H19</f>
        <v>8</v>
      </c>
      <c r="I13" s="8"/>
      <c r="K13" s="389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2"/>
    </row>
    <row r="14" spans="1:24" ht="23.1" customHeight="1">
      <c r="B14" s="7"/>
      <c r="I14" s="8"/>
      <c r="K14" s="389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2"/>
    </row>
    <row r="15" spans="1:24" ht="23.1" customHeight="1">
      <c r="B15" s="7"/>
      <c r="D15" s="522" t="s">
        <v>670</v>
      </c>
      <c r="E15" s="522"/>
      <c r="F15" s="522"/>
      <c r="G15" s="522"/>
      <c r="H15" s="523">
        <f>H16+H17</f>
        <v>8</v>
      </c>
      <c r="I15" s="8"/>
      <c r="K15" s="389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2"/>
    </row>
    <row r="16" spans="1:24" ht="23.1" customHeight="1">
      <c r="B16" s="7"/>
      <c r="E16" s="23" t="s">
        <v>3</v>
      </c>
      <c r="F16" s="23"/>
      <c r="G16" s="23"/>
      <c r="H16" s="418">
        <v>8</v>
      </c>
      <c r="I16" s="8"/>
      <c r="K16" s="389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2"/>
    </row>
    <row r="17" spans="2:24" ht="23.1" customHeight="1">
      <c r="B17" s="7"/>
      <c r="E17" s="23" t="s">
        <v>4</v>
      </c>
      <c r="F17" s="23"/>
      <c r="G17" s="23"/>
      <c r="H17" s="418"/>
      <c r="I17" s="8"/>
      <c r="K17" s="389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2"/>
    </row>
    <row r="18" spans="2:24" ht="23.1" customHeight="1">
      <c r="B18" s="7"/>
      <c r="I18" s="8"/>
      <c r="K18" s="389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2"/>
    </row>
    <row r="19" spans="2:24" ht="23.1" customHeight="1">
      <c r="B19" s="7"/>
      <c r="D19" s="522" t="s">
        <v>671</v>
      </c>
      <c r="E19" s="522"/>
      <c r="F19" s="522"/>
      <c r="G19" s="522"/>
      <c r="H19" s="524"/>
      <c r="I19" s="8"/>
      <c r="K19" s="389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2"/>
    </row>
    <row r="20" spans="2:24" ht="23.1" customHeight="1">
      <c r="B20" s="7"/>
      <c r="I20" s="8"/>
      <c r="K20" s="389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2"/>
    </row>
    <row r="21" spans="2:24" ht="23.1" customHeight="1">
      <c r="B21" s="7"/>
      <c r="I21" s="8"/>
      <c r="K21" s="389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2"/>
    </row>
    <row r="22" spans="2:24" ht="31.35" customHeight="1">
      <c r="B22" s="7"/>
      <c r="C22" s="24" t="s">
        <v>6</v>
      </c>
      <c r="D22" s="24" t="s">
        <v>5</v>
      </c>
      <c r="E22" s="24"/>
      <c r="F22" s="24"/>
      <c r="G22" s="24"/>
      <c r="H22" s="25" t="s">
        <v>7</v>
      </c>
      <c r="I22" s="8"/>
      <c r="K22" s="389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2"/>
    </row>
    <row r="23" spans="2:24" ht="23.1" customHeight="1">
      <c r="B23" s="7"/>
      <c r="C23" s="26" t="s">
        <v>672</v>
      </c>
      <c r="D23" s="525" t="s">
        <v>1021</v>
      </c>
      <c r="E23" s="525"/>
      <c r="F23" s="525"/>
      <c r="G23" s="525"/>
      <c r="H23" s="419">
        <v>42255</v>
      </c>
      <c r="I23" s="8"/>
      <c r="K23" s="389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2"/>
    </row>
    <row r="24" spans="2:24" ht="23.1" customHeight="1">
      <c r="B24" s="7"/>
      <c r="C24" s="27" t="s">
        <v>673</v>
      </c>
      <c r="D24" s="526"/>
      <c r="E24" s="526"/>
      <c r="F24" s="526"/>
      <c r="G24" s="526"/>
      <c r="H24" s="420"/>
      <c r="I24" s="8"/>
      <c r="K24" s="389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2"/>
    </row>
    <row r="25" spans="2:24" ht="23.1" customHeight="1">
      <c r="B25" s="7"/>
      <c r="C25" s="27" t="s">
        <v>674</v>
      </c>
      <c r="D25" s="526" t="s">
        <v>1022</v>
      </c>
      <c r="E25" s="526"/>
      <c r="F25" s="526"/>
      <c r="G25" s="526"/>
      <c r="H25" s="420">
        <v>42863</v>
      </c>
      <c r="I25" s="8"/>
      <c r="K25" s="389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2"/>
    </row>
    <row r="26" spans="2:24" ht="23.1" customHeight="1">
      <c r="B26" s="7"/>
      <c r="C26" s="27" t="s">
        <v>675</v>
      </c>
      <c r="D26" s="526"/>
      <c r="E26" s="526"/>
      <c r="F26" s="526"/>
      <c r="G26" s="526"/>
      <c r="H26" s="420"/>
      <c r="I26" s="8"/>
      <c r="K26" s="389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2"/>
    </row>
    <row r="27" spans="2:24" ht="23.1" customHeight="1">
      <c r="B27" s="7"/>
      <c r="C27" s="27" t="s">
        <v>8</v>
      </c>
      <c r="D27" s="526" t="s">
        <v>1023</v>
      </c>
      <c r="E27" s="526"/>
      <c r="F27" s="526"/>
      <c r="G27" s="526"/>
      <c r="H27" s="420">
        <v>42255</v>
      </c>
      <c r="I27" s="8"/>
      <c r="K27" s="389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2"/>
    </row>
    <row r="28" spans="2:24" ht="23.1" customHeight="1">
      <c r="B28" s="7"/>
      <c r="C28" s="27" t="s">
        <v>9</v>
      </c>
      <c r="D28" s="526" t="s">
        <v>1024</v>
      </c>
      <c r="E28" s="526"/>
      <c r="F28" s="526"/>
      <c r="G28" s="526"/>
      <c r="H28" s="420">
        <v>42255</v>
      </c>
      <c r="I28" s="8"/>
      <c r="K28" s="389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2"/>
    </row>
    <row r="29" spans="2:24" ht="23.1" customHeight="1">
      <c r="B29" s="7"/>
      <c r="C29" s="27" t="s">
        <v>10</v>
      </c>
      <c r="D29" s="526" t="s">
        <v>1025</v>
      </c>
      <c r="E29" s="526"/>
      <c r="F29" s="526"/>
      <c r="G29" s="526"/>
      <c r="H29" s="420">
        <v>42255</v>
      </c>
      <c r="I29" s="8"/>
      <c r="K29" s="389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2"/>
    </row>
    <row r="30" spans="2:24" ht="23.1" customHeight="1">
      <c r="B30" s="7"/>
      <c r="C30" s="27" t="s">
        <v>11</v>
      </c>
      <c r="D30" s="526" t="s">
        <v>1026</v>
      </c>
      <c r="E30" s="526"/>
      <c r="F30" s="526"/>
      <c r="G30" s="526"/>
      <c r="H30" s="420">
        <v>42661</v>
      </c>
      <c r="I30" s="8"/>
      <c r="K30" s="399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1"/>
    </row>
    <row r="31" spans="2:24" ht="23.1" customHeight="1">
      <c r="B31" s="7"/>
      <c r="C31" s="27" t="s">
        <v>12</v>
      </c>
      <c r="D31" s="526" t="s">
        <v>1027</v>
      </c>
      <c r="E31" s="526"/>
      <c r="F31" s="526"/>
      <c r="G31" s="526"/>
      <c r="H31" s="420">
        <v>42255</v>
      </c>
      <c r="I31" s="8"/>
      <c r="K31" s="399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1"/>
    </row>
    <row r="32" spans="2:24" ht="23.1" customHeight="1">
      <c r="B32" s="7"/>
      <c r="C32" s="27" t="s">
        <v>13</v>
      </c>
      <c r="D32" s="526" t="s">
        <v>1028</v>
      </c>
      <c r="E32" s="526"/>
      <c r="F32" s="526"/>
      <c r="G32" s="526"/>
      <c r="H32" s="420">
        <v>42255</v>
      </c>
      <c r="I32" s="8"/>
      <c r="K32" s="389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2"/>
    </row>
    <row r="33" spans="2:25" ht="23.1" customHeight="1">
      <c r="B33" s="7"/>
      <c r="C33" s="27" t="s">
        <v>14</v>
      </c>
      <c r="D33" s="526" t="s">
        <v>1029</v>
      </c>
      <c r="E33" s="526"/>
      <c r="F33" s="526"/>
      <c r="G33" s="526"/>
      <c r="H33" s="420">
        <v>42913</v>
      </c>
      <c r="I33" s="8"/>
      <c r="K33" s="389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2"/>
    </row>
    <row r="34" spans="2:25" ht="23.1" customHeight="1">
      <c r="B34" s="7"/>
      <c r="C34" s="27" t="s">
        <v>15</v>
      </c>
      <c r="D34" s="526"/>
      <c r="E34" s="526"/>
      <c r="F34" s="526"/>
      <c r="G34" s="526"/>
      <c r="H34" s="420"/>
      <c r="I34" s="8"/>
      <c r="K34" s="389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2"/>
    </row>
    <row r="35" spans="2:25" ht="23.1" customHeight="1">
      <c r="B35" s="7"/>
      <c r="C35" s="27" t="s">
        <v>16</v>
      </c>
      <c r="D35" s="526"/>
      <c r="E35" s="526"/>
      <c r="F35" s="526"/>
      <c r="G35" s="526"/>
      <c r="H35" s="420"/>
      <c r="I35" s="8"/>
      <c r="K35" s="389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2"/>
    </row>
    <row r="36" spans="2:25" ht="23.1" customHeight="1">
      <c r="B36" s="7"/>
      <c r="C36" s="27" t="s">
        <v>17</v>
      </c>
      <c r="D36" s="526"/>
      <c r="E36" s="526"/>
      <c r="F36" s="526"/>
      <c r="G36" s="526"/>
      <c r="H36" s="420"/>
      <c r="I36" s="8"/>
      <c r="K36" s="402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4"/>
    </row>
    <row r="37" spans="2:25" ht="23.1" customHeight="1">
      <c r="B37" s="7"/>
      <c r="C37" s="27" t="s">
        <v>18</v>
      </c>
      <c r="D37" s="526"/>
      <c r="E37" s="526"/>
      <c r="F37" s="526"/>
      <c r="G37" s="526"/>
      <c r="H37" s="420"/>
      <c r="I37" s="8"/>
      <c r="K37" s="402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4"/>
    </row>
    <row r="38" spans="2:25" ht="23.1" customHeight="1">
      <c r="B38" s="7"/>
      <c r="C38" s="27" t="s">
        <v>19</v>
      </c>
      <c r="D38" s="526"/>
      <c r="E38" s="526"/>
      <c r="F38" s="526"/>
      <c r="G38" s="526"/>
      <c r="H38" s="420"/>
      <c r="I38" s="8"/>
      <c r="K38" s="402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4"/>
    </row>
    <row r="39" spans="2:25" ht="23.1" customHeight="1">
      <c r="B39" s="7"/>
      <c r="C39" s="28"/>
      <c r="D39" s="29"/>
      <c r="E39" s="29"/>
      <c r="F39" s="29"/>
      <c r="G39" s="29"/>
      <c r="H39" s="30"/>
      <c r="I39" s="8"/>
      <c r="K39" s="402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4"/>
    </row>
    <row r="40" spans="2:25" ht="23.1" customHeight="1">
      <c r="B40" s="7"/>
      <c r="C40" s="31" t="s">
        <v>676</v>
      </c>
      <c r="D40" s="527" t="s">
        <v>1030</v>
      </c>
      <c r="E40" s="527"/>
      <c r="F40" s="527"/>
      <c r="G40" s="527"/>
      <c r="H40" s="421">
        <v>42532</v>
      </c>
      <c r="I40" s="8"/>
      <c r="K40" s="389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2"/>
    </row>
    <row r="41" spans="2:25" ht="23.1" customHeight="1">
      <c r="B41" s="7"/>
      <c r="C41" s="31" t="s">
        <v>36</v>
      </c>
      <c r="D41" s="526"/>
      <c r="E41" s="526"/>
      <c r="F41" s="526"/>
      <c r="G41" s="526"/>
      <c r="H41" s="421"/>
      <c r="I41" s="8"/>
      <c r="K41" s="389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2"/>
    </row>
    <row r="42" spans="2:25" ht="23.1" customHeight="1" thickBot="1">
      <c r="B42" s="15"/>
      <c r="C42" s="16"/>
      <c r="D42" s="16"/>
      <c r="E42" s="16"/>
      <c r="F42" s="16"/>
      <c r="G42" s="32"/>
      <c r="H42" s="16"/>
      <c r="I42" s="17"/>
      <c r="K42" s="405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7"/>
    </row>
    <row r="43" spans="2:25" ht="23.1" customHeight="1">
      <c r="G43" s="33"/>
      <c r="J43" s="875" t="s">
        <v>951</v>
      </c>
    </row>
    <row r="44" spans="2:25" s="38" customFormat="1" ht="15">
      <c r="C44" s="34" t="s">
        <v>72</v>
      </c>
      <c r="G44" s="39"/>
      <c r="H44" s="37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38" customFormat="1" ht="15">
      <c r="C45" s="34" t="s">
        <v>73</v>
      </c>
      <c r="G45" s="3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38" customFormat="1" ht="15">
      <c r="C46" s="34" t="s">
        <v>74</v>
      </c>
      <c r="G46" s="3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38" customFormat="1" ht="15">
      <c r="C47" s="34" t="s">
        <v>75</v>
      </c>
      <c r="G47" s="3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38" customFormat="1" ht="15">
      <c r="C48" s="34" t="s">
        <v>76</v>
      </c>
      <c r="G48" s="3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3.1" customHeight="1">
      <c r="G49" s="33"/>
    </row>
    <row r="50" spans="7:7" ht="23.1" customHeight="1">
      <c r="G50" s="33"/>
    </row>
    <row r="51" spans="7:7" ht="23.1" customHeight="1">
      <c r="G51" s="33"/>
    </row>
    <row r="52" spans="7:7" ht="23.1" customHeight="1">
      <c r="G52" s="33"/>
    </row>
    <row r="53" spans="7:7" ht="23.1" customHeight="1">
      <c r="G53" s="33"/>
    </row>
    <row r="54" spans="7:7" ht="23.1" customHeight="1">
      <c r="G54" s="33"/>
    </row>
    <row r="55" spans="7:7" ht="23.1" customHeight="1">
      <c r="G55" s="33"/>
    </row>
  </sheetData>
  <sheetProtection password="C494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F61"/>
  <sheetViews>
    <sheetView workbookViewId="0">
      <selection activeCell="D50" sqref="D50"/>
    </sheetView>
  </sheetViews>
  <sheetFormatPr baseColWidth="10" defaultColWidth="10.6640625" defaultRowHeight="23.1" customHeight="1"/>
  <cols>
    <col min="1" max="1" width="4.33203125" style="38" bestFit="1" customWidth="1"/>
    <col min="2" max="2" width="3.33203125" style="38" customWidth="1"/>
    <col min="3" max="3" width="13.5546875" style="38" customWidth="1"/>
    <col min="4" max="4" width="16.33203125" style="38" customWidth="1"/>
    <col min="5" max="5" width="14" style="38" customWidth="1"/>
    <col min="6" max="7" width="16.33203125" style="38" customWidth="1"/>
    <col min="8" max="8" width="10.33203125" style="38" customWidth="1"/>
    <col min="9" max="9" width="13" style="38" customWidth="1"/>
    <col min="10" max="10" width="10.6640625" style="38"/>
    <col min="11" max="11" width="2" style="38" customWidth="1"/>
    <col min="12" max="12" width="12.6640625" style="38" customWidth="1"/>
    <col min="13" max="15" width="10.6640625" style="38"/>
    <col min="16" max="16" width="30.44140625" style="38" customWidth="1"/>
    <col min="17" max="17" width="3.33203125" style="38" customWidth="1"/>
    <col min="18" max="16384" width="10.6640625" style="38"/>
  </cols>
  <sheetData>
    <row r="2" spans="1:32" ht="23.1" customHeight="1">
      <c r="D2" s="12" t="s">
        <v>31</v>
      </c>
    </row>
    <row r="3" spans="1:32" ht="23.1" customHeight="1">
      <c r="D3" s="12" t="s">
        <v>32</v>
      </c>
    </row>
    <row r="4" spans="1:32" ht="23.1" customHeight="1" thickBot="1">
      <c r="A4" s="38" t="s">
        <v>950</v>
      </c>
    </row>
    <row r="5" spans="1:32" ht="9" customHeight="1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S5" s="386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8"/>
    </row>
    <row r="6" spans="1:32" ht="30" customHeight="1">
      <c r="B6" s="43"/>
      <c r="C6" s="1" t="s">
        <v>0</v>
      </c>
      <c r="P6" s="1110">
        <f>ejercicio</f>
        <v>2019</v>
      </c>
      <c r="Q6" s="45"/>
      <c r="S6" s="389"/>
      <c r="T6" s="390" t="s">
        <v>689</v>
      </c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2"/>
    </row>
    <row r="7" spans="1:32" ht="30" customHeight="1">
      <c r="B7" s="43"/>
      <c r="C7" s="1" t="s">
        <v>1</v>
      </c>
      <c r="M7" s="659"/>
      <c r="P7" s="1110"/>
      <c r="Q7" s="45"/>
      <c r="S7" s="389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2"/>
    </row>
    <row r="8" spans="1:32" ht="30" customHeight="1">
      <c r="B8" s="43"/>
      <c r="C8" s="44"/>
      <c r="M8" s="659"/>
      <c r="O8" s="46"/>
      <c r="P8" s="46"/>
      <c r="Q8" s="45"/>
      <c r="S8" s="389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2"/>
    </row>
    <row r="9" spans="1:32" s="53" customFormat="1" ht="30" customHeight="1">
      <c r="B9" s="51"/>
      <c r="C9" s="35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654"/>
      <c r="Q9" s="52"/>
      <c r="S9" s="393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5"/>
    </row>
    <row r="10" spans="1:32" ht="7.35" customHeight="1">
      <c r="B10" s="43"/>
      <c r="I10" s="659"/>
      <c r="Q10" s="45"/>
      <c r="S10" s="389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2"/>
    </row>
    <row r="11" spans="1:32" s="55" customFormat="1" ht="30" customHeight="1">
      <c r="B11" s="21"/>
      <c r="C11" s="10" t="s">
        <v>78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54"/>
      <c r="S11" s="396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8"/>
    </row>
    <row r="12" spans="1:32" ht="23.1" customHeight="1">
      <c r="B12" s="43"/>
      <c r="Q12" s="45"/>
      <c r="S12" s="396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8"/>
    </row>
    <row r="13" spans="1:32" ht="23.1" customHeight="1">
      <c r="B13" s="43"/>
      <c r="C13" s="11" t="s">
        <v>952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45"/>
      <c r="S13" s="389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2"/>
    </row>
    <row r="14" spans="1:32" ht="23.1" customHeight="1"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S14" s="389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2"/>
    </row>
    <row r="15" spans="1:32" ht="23.1" customHeight="1">
      <c r="B15" s="43"/>
      <c r="F15" s="1120" t="s">
        <v>732</v>
      </c>
      <c r="G15" s="1120"/>
      <c r="H15" s="1120"/>
      <c r="I15" s="660">
        <f>ejercicio-2</f>
        <v>2017</v>
      </c>
      <c r="J15" s="661"/>
      <c r="L15" s="1120" t="s">
        <v>731</v>
      </c>
      <c r="M15" s="1120"/>
      <c r="N15" s="1120"/>
      <c r="O15" s="662">
        <f>ejercicio-1</f>
        <v>2018</v>
      </c>
      <c r="P15" s="663"/>
      <c r="Q15" s="45"/>
      <c r="S15" s="389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2"/>
    </row>
    <row r="16" spans="1:32" s="671" customFormat="1" ht="51" customHeight="1">
      <c r="B16" s="664"/>
      <c r="C16" s="665" t="s">
        <v>20</v>
      </c>
      <c r="D16" s="665"/>
      <c r="E16" s="666" t="s">
        <v>21</v>
      </c>
      <c r="F16" s="666" t="s">
        <v>22</v>
      </c>
      <c r="G16" s="666" t="s">
        <v>729</v>
      </c>
      <c r="H16" s="667" t="s">
        <v>728</v>
      </c>
      <c r="I16" s="666" t="s">
        <v>955</v>
      </c>
      <c r="J16" s="666" t="s">
        <v>956</v>
      </c>
      <c r="K16" s="666"/>
      <c r="L16" s="668" t="s">
        <v>733</v>
      </c>
      <c r="M16" s="668" t="s">
        <v>24</v>
      </c>
      <c r="N16" s="668" t="s">
        <v>734</v>
      </c>
      <c r="O16" s="668" t="s">
        <v>26</v>
      </c>
      <c r="P16" s="669" t="s">
        <v>575</v>
      </c>
      <c r="Q16" s="670"/>
      <c r="S16" s="389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2"/>
    </row>
    <row r="17" spans="2:32" ht="23.1" customHeight="1">
      <c r="B17" s="43"/>
      <c r="C17" s="422" t="s">
        <v>1065</v>
      </c>
      <c r="D17" s="422"/>
      <c r="E17" s="677" t="s">
        <v>1064</v>
      </c>
      <c r="F17" s="423">
        <v>1</v>
      </c>
      <c r="G17" s="675"/>
      <c r="H17" s="675"/>
      <c r="I17" s="425"/>
      <c r="J17" s="425"/>
      <c r="K17" s="425"/>
      <c r="L17" s="425"/>
      <c r="M17" s="425"/>
      <c r="N17" s="425"/>
      <c r="O17" s="425"/>
      <c r="P17" s="425"/>
      <c r="Q17" s="45"/>
      <c r="S17" s="389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2"/>
    </row>
    <row r="18" spans="2:32" ht="23.1" customHeight="1">
      <c r="B18" s="43"/>
      <c r="C18" s="426"/>
      <c r="D18" s="426"/>
      <c r="E18" s="678"/>
      <c r="F18" s="427"/>
      <c r="G18" s="676"/>
      <c r="H18" s="676"/>
      <c r="I18" s="429"/>
      <c r="J18" s="429"/>
      <c r="K18" s="429"/>
      <c r="L18" s="429"/>
      <c r="M18" s="429"/>
      <c r="N18" s="429"/>
      <c r="O18" s="429"/>
      <c r="P18" s="429"/>
      <c r="Q18" s="45"/>
      <c r="S18" s="389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2"/>
    </row>
    <row r="19" spans="2:32" ht="23.1" customHeight="1">
      <c r="B19" s="43"/>
      <c r="C19" s="426"/>
      <c r="D19" s="426"/>
      <c r="E19" s="678"/>
      <c r="F19" s="427"/>
      <c r="G19" s="676"/>
      <c r="H19" s="676"/>
      <c r="I19" s="429"/>
      <c r="J19" s="429"/>
      <c r="K19" s="429"/>
      <c r="L19" s="429"/>
      <c r="M19" s="429"/>
      <c r="N19" s="429"/>
      <c r="O19" s="429"/>
      <c r="P19" s="429"/>
      <c r="Q19" s="45"/>
      <c r="S19" s="389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2"/>
    </row>
    <row r="20" spans="2:32" ht="23.1" customHeight="1">
      <c r="B20" s="43"/>
      <c r="C20" s="426"/>
      <c r="D20" s="426"/>
      <c r="E20" s="678"/>
      <c r="F20" s="427"/>
      <c r="G20" s="676"/>
      <c r="H20" s="676"/>
      <c r="I20" s="429"/>
      <c r="J20" s="429"/>
      <c r="K20" s="429"/>
      <c r="L20" s="429"/>
      <c r="M20" s="429"/>
      <c r="N20" s="429"/>
      <c r="O20" s="429"/>
      <c r="P20" s="429"/>
      <c r="Q20" s="45"/>
      <c r="S20" s="389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2"/>
    </row>
    <row r="21" spans="2:32" ht="23.1" customHeight="1">
      <c r="B21" s="43"/>
      <c r="C21" s="426"/>
      <c r="D21" s="426"/>
      <c r="E21" s="678"/>
      <c r="F21" s="427"/>
      <c r="G21" s="676"/>
      <c r="H21" s="676"/>
      <c r="I21" s="429"/>
      <c r="J21" s="429"/>
      <c r="K21" s="429"/>
      <c r="L21" s="429"/>
      <c r="M21" s="429"/>
      <c r="N21" s="429"/>
      <c r="O21" s="429"/>
      <c r="P21" s="429"/>
      <c r="Q21" s="45"/>
      <c r="S21" s="389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2"/>
    </row>
    <row r="22" spans="2:32" ht="23.1" customHeight="1">
      <c r="B22" s="43"/>
      <c r="C22" s="426"/>
      <c r="D22" s="426"/>
      <c r="E22" s="678"/>
      <c r="F22" s="427"/>
      <c r="G22" s="676"/>
      <c r="H22" s="676"/>
      <c r="I22" s="429"/>
      <c r="J22" s="429"/>
      <c r="K22" s="429"/>
      <c r="L22" s="429"/>
      <c r="M22" s="429"/>
      <c r="N22" s="429"/>
      <c r="O22" s="429"/>
      <c r="P22" s="429"/>
      <c r="Q22" s="45"/>
      <c r="S22" s="389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2"/>
    </row>
    <row r="23" spans="2:32" ht="23.1" customHeight="1">
      <c r="B23" s="43"/>
      <c r="C23" s="426"/>
      <c r="D23" s="426"/>
      <c r="E23" s="678"/>
      <c r="F23" s="427"/>
      <c r="G23" s="676"/>
      <c r="H23" s="676"/>
      <c r="I23" s="429"/>
      <c r="J23" s="429"/>
      <c r="K23" s="429"/>
      <c r="L23" s="429"/>
      <c r="M23" s="429"/>
      <c r="N23" s="429"/>
      <c r="O23" s="429"/>
      <c r="P23" s="429"/>
      <c r="Q23" s="45"/>
      <c r="S23" s="389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2"/>
    </row>
    <row r="24" spans="2:32" ht="23.1" customHeight="1">
      <c r="B24" s="43"/>
      <c r="C24" s="426"/>
      <c r="D24" s="426"/>
      <c r="E24" s="678"/>
      <c r="F24" s="427"/>
      <c r="G24" s="676"/>
      <c r="H24" s="676"/>
      <c r="I24" s="429"/>
      <c r="J24" s="429"/>
      <c r="K24" s="429"/>
      <c r="L24" s="429"/>
      <c r="M24" s="429"/>
      <c r="N24" s="429"/>
      <c r="O24" s="429"/>
      <c r="P24" s="429"/>
      <c r="Q24" s="45"/>
      <c r="S24" s="389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2"/>
    </row>
    <row r="25" spans="2:32" ht="23.1" customHeight="1">
      <c r="B25" s="43"/>
      <c r="C25" s="426"/>
      <c r="D25" s="426"/>
      <c r="E25" s="678"/>
      <c r="F25" s="427"/>
      <c r="G25" s="676"/>
      <c r="H25" s="676"/>
      <c r="I25" s="429"/>
      <c r="J25" s="429"/>
      <c r="K25" s="429"/>
      <c r="L25" s="429"/>
      <c r="M25" s="429"/>
      <c r="N25" s="429"/>
      <c r="O25" s="429"/>
      <c r="P25" s="429"/>
      <c r="Q25" s="45"/>
      <c r="S25" s="389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2"/>
    </row>
    <row r="26" spans="2:32" ht="23.1" customHeight="1">
      <c r="B26" s="43"/>
      <c r="C26" s="426"/>
      <c r="D26" s="426"/>
      <c r="E26" s="678"/>
      <c r="F26" s="427"/>
      <c r="G26" s="676"/>
      <c r="H26" s="676"/>
      <c r="I26" s="429"/>
      <c r="J26" s="429"/>
      <c r="K26" s="429"/>
      <c r="L26" s="429"/>
      <c r="M26" s="429"/>
      <c r="N26" s="429"/>
      <c r="O26" s="429"/>
      <c r="P26" s="429"/>
      <c r="Q26" s="45"/>
      <c r="S26" s="389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2"/>
    </row>
    <row r="27" spans="2:32" ht="23.1" customHeight="1">
      <c r="B27" s="43"/>
      <c r="C27" s="426"/>
      <c r="D27" s="426"/>
      <c r="E27" s="678"/>
      <c r="F27" s="427"/>
      <c r="G27" s="676"/>
      <c r="H27" s="676"/>
      <c r="I27" s="429"/>
      <c r="J27" s="429"/>
      <c r="K27" s="429"/>
      <c r="L27" s="429"/>
      <c r="M27" s="429"/>
      <c r="N27" s="429"/>
      <c r="O27" s="429"/>
      <c r="P27" s="429"/>
      <c r="Q27" s="45"/>
      <c r="S27" s="389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2"/>
    </row>
    <row r="28" spans="2:32" ht="23.1" customHeight="1">
      <c r="B28" s="43"/>
      <c r="Q28" s="45"/>
      <c r="S28" s="389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2"/>
    </row>
    <row r="29" spans="2:32" ht="23.1" customHeight="1">
      <c r="B29" s="43"/>
      <c r="C29" s="11" t="s">
        <v>27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45"/>
      <c r="S29" s="389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2"/>
    </row>
    <row r="30" spans="2:32" ht="23.1" customHeight="1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  <c r="S30" s="399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1"/>
    </row>
    <row r="31" spans="2:32" ht="23.1" customHeight="1">
      <c r="B31" s="43"/>
      <c r="F31" s="1120" t="s">
        <v>732</v>
      </c>
      <c r="G31" s="1120"/>
      <c r="H31" s="1120"/>
      <c r="I31" s="660">
        <f>ejercicio-2</f>
        <v>2017</v>
      </c>
      <c r="J31" s="661"/>
      <c r="L31" s="1121" t="s">
        <v>731</v>
      </c>
      <c r="M31" s="1121"/>
      <c r="N31" s="1121"/>
      <c r="O31" s="672">
        <f>ejercicio-1</f>
        <v>2018</v>
      </c>
      <c r="Q31" s="45"/>
      <c r="S31" s="399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1"/>
    </row>
    <row r="32" spans="2:32" ht="44.1" customHeight="1">
      <c r="B32" s="43"/>
      <c r="C32" s="665" t="s">
        <v>20</v>
      </c>
      <c r="D32" s="665"/>
      <c r="E32" s="666" t="s">
        <v>21</v>
      </c>
      <c r="F32" s="666" t="s">
        <v>22</v>
      </c>
      <c r="G32" s="666" t="s">
        <v>729</v>
      </c>
      <c r="H32" s="667" t="s">
        <v>728</v>
      </c>
      <c r="I32" s="666" t="s">
        <v>955</v>
      </c>
      <c r="J32" s="666" t="s">
        <v>28</v>
      </c>
      <c r="K32" s="666"/>
      <c r="L32" s="666" t="s">
        <v>23</v>
      </c>
      <c r="M32" s="666" t="s">
        <v>24</v>
      </c>
      <c r="N32" s="666" t="s">
        <v>25</v>
      </c>
      <c r="O32" s="666" t="s">
        <v>26</v>
      </c>
      <c r="P32" s="669" t="s">
        <v>575</v>
      </c>
      <c r="Q32" s="45"/>
      <c r="S32" s="389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2"/>
    </row>
    <row r="33" spans="2:32" ht="23.1" customHeight="1">
      <c r="B33" s="43"/>
      <c r="C33" s="422"/>
      <c r="D33" s="422"/>
      <c r="E33" s="677"/>
      <c r="F33" s="528"/>
      <c r="G33" s="675"/>
      <c r="H33" s="424"/>
      <c r="I33" s="425"/>
      <c r="J33" s="425"/>
      <c r="K33" s="425"/>
      <c r="L33" s="425"/>
      <c r="M33" s="425"/>
      <c r="N33" s="425"/>
      <c r="O33" s="425"/>
      <c r="P33" s="425"/>
      <c r="Q33" s="45"/>
      <c r="S33" s="389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2"/>
    </row>
    <row r="34" spans="2:32" ht="23.1" customHeight="1">
      <c r="B34" s="43"/>
      <c r="C34" s="426"/>
      <c r="D34" s="426"/>
      <c r="E34" s="678"/>
      <c r="F34" s="529"/>
      <c r="G34" s="676"/>
      <c r="H34" s="428"/>
      <c r="I34" s="429"/>
      <c r="J34" s="429"/>
      <c r="K34" s="429"/>
      <c r="L34" s="429"/>
      <c r="M34" s="429"/>
      <c r="N34" s="429"/>
      <c r="O34" s="429"/>
      <c r="P34" s="429"/>
      <c r="Q34" s="45"/>
      <c r="S34" s="389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2"/>
    </row>
    <row r="35" spans="2:32" ht="23.1" customHeight="1">
      <c r="B35" s="43"/>
      <c r="C35" s="426"/>
      <c r="D35" s="426"/>
      <c r="E35" s="678"/>
      <c r="F35" s="529"/>
      <c r="G35" s="676"/>
      <c r="H35" s="428"/>
      <c r="I35" s="429"/>
      <c r="J35" s="429"/>
      <c r="K35" s="429"/>
      <c r="L35" s="429"/>
      <c r="M35" s="429"/>
      <c r="N35" s="429"/>
      <c r="O35" s="429"/>
      <c r="P35" s="429"/>
      <c r="Q35" s="45"/>
      <c r="S35" s="389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2"/>
    </row>
    <row r="36" spans="2:32" ht="23.1" customHeight="1">
      <c r="B36" s="43"/>
      <c r="C36" s="426"/>
      <c r="D36" s="426"/>
      <c r="E36" s="678"/>
      <c r="F36" s="529"/>
      <c r="G36" s="676"/>
      <c r="H36" s="428"/>
      <c r="I36" s="429"/>
      <c r="J36" s="429"/>
      <c r="K36" s="429"/>
      <c r="L36" s="429"/>
      <c r="M36" s="429"/>
      <c r="N36" s="429"/>
      <c r="O36" s="429"/>
      <c r="P36" s="429"/>
      <c r="Q36" s="45"/>
      <c r="S36" s="402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4"/>
    </row>
    <row r="37" spans="2:32" ht="23.1" customHeight="1">
      <c r="B37" s="43"/>
      <c r="C37" s="426"/>
      <c r="D37" s="426"/>
      <c r="E37" s="678"/>
      <c r="F37" s="529"/>
      <c r="G37" s="676"/>
      <c r="H37" s="428"/>
      <c r="I37" s="429"/>
      <c r="J37" s="429"/>
      <c r="K37" s="429"/>
      <c r="L37" s="429"/>
      <c r="M37" s="429"/>
      <c r="N37" s="429"/>
      <c r="O37" s="429"/>
      <c r="P37" s="429"/>
      <c r="Q37" s="45"/>
      <c r="S37" s="402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4"/>
    </row>
    <row r="38" spans="2:32" ht="23.1" customHeight="1">
      <c r="B38" s="43"/>
      <c r="C38" s="426"/>
      <c r="D38" s="426"/>
      <c r="E38" s="678"/>
      <c r="F38" s="529"/>
      <c r="G38" s="676"/>
      <c r="H38" s="428"/>
      <c r="I38" s="429"/>
      <c r="J38" s="429"/>
      <c r="K38" s="429"/>
      <c r="L38" s="429"/>
      <c r="M38" s="429"/>
      <c r="N38" s="429"/>
      <c r="O38" s="429"/>
      <c r="P38" s="429"/>
      <c r="Q38" s="45"/>
      <c r="S38" s="402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4"/>
    </row>
    <row r="39" spans="2:32" ht="23.1" customHeight="1">
      <c r="B39" s="43"/>
      <c r="C39" s="426"/>
      <c r="D39" s="426"/>
      <c r="E39" s="678"/>
      <c r="F39" s="529"/>
      <c r="G39" s="676"/>
      <c r="H39" s="428"/>
      <c r="I39" s="429"/>
      <c r="J39" s="429"/>
      <c r="K39" s="429"/>
      <c r="L39" s="429"/>
      <c r="M39" s="429"/>
      <c r="N39" s="429"/>
      <c r="O39" s="429"/>
      <c r="P39" s="429"/>
      <c r="Q39" s="45"/>
      <c r="S39" s="402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3"/>
      <c r="AE39" s="403"/>
      <c r="AF39" s="404"/>
    </row>
    <row r="40" spans="2:32" ht="23.1" customHeight="1">
      <c r="B40" s="43"/>
      <c r="C40" s="426"/>
      <c r="D40" s="426"/>
      <c r="E40" s="678"/>
      <c r="F40" s="529"/>
      <c r="G40" s="676"/>
      <c r="H40" s="428"/>
      <c r="I40" s="429"/>
      <c r="J40" s="429"/>
      <c r="K40" s="429"/>
      <c r="L40" s="429"/>
      <c r="M40" s="429"/>
      <c r="N40" s="429"/>
      <c r="O40" s="429"/>
      <c r="P40" s="429"/>
      <c r="Q40" s="45"/>
      <c r="S40" s="402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F40" s="404"/>
    </row>
    <row r="41" spans="2:32" ht="23.1" customHeight="1">
      <c r="B41" s="43"/>
      <c r="C41" s="426"/>
      <c r="D41" s="426"/>
      <c r="E41" s="678"/>
      <c r="F41" s="529"/>
      <c r="G41" s="676"/>
      <c r="H41" s="428"/>
      <c r="I41" s="429"/>
      <c r="J41" s="429"/>
      <c r="K41" s="429"/>
      <c r="L41" s="429"/>
      <c r="M41" s="429"/>
      <c r="N41" s="429"/>
      <c r="O41" s="429"/>
      <c r="P41" s="429"/>
      <c r="Q41" s="45"/>
      <c r="S41" s="402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04"/>
    </row>
    <row r="42" spans="2:32" ht="23.1" customHeight="1">
      <c r="B42" s="43"/>
      <c r="C42" s="426"/>
      <c r="D42" s="426"/>
      <c r="E42" s="678"/>
      <c r="F42" s="529"/>
      <c r="G42" s="676"/>
      <c r="H42" s="428"/>
      <c r="I42" s="429"/>
      <c r="J42" s="429"/>
      <c r="K42" s="429"/>
      <c r="L42" s="429"/>
      <c r="M42" s="429"/>
      <c r="N42" s="429"/>
      <c r="O42" s="429"/>
      <c r="P42" s="429"/>
      <c r="Q42" s="45"/>
      <c r="S42" s="402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4"/>
    </row>
    <row r="43" spans="2:32" ht="23.1" customHeight="1">
      <c r="B43" s="43"/>
      <c r="C43" s="426"/>
      <c r="D43" s="426"/>
      <c r="E43" s="678"/>
      <c r="F43" s="529"/>
      <c r="G43" s="676"/>
      <c r="H43" s="428"/>
      <c r="I43" s="429"/>
      <c r="J43" s="429"/>
      <c r="K43" s="429"/>
      <c r="L43" s="429"/>
      <c r="M43" s="429"/>
      <c r="N43" s="429"/>
      <c r="O43" s="429"/>
      <c r="P43" s="429"/>
      <c r="Q43" s="45"/>
      <c r="S43" s="402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3"/>
      <c r="AE43" s="403"/>
      <c r="AF43" s="404"/>
    </row>
    <row r="44" spans="2:32" ht="23.1" customHeight="1">
      <c r="B44" s="43"/>
      <c r="Q44" s="45"/>
      <c r="S44" s="402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4"/>
    </row>
    <row r="45" spans="2:32" ht="23.1" customHeight="1">
      <c r="B45" s="43"/>
      <c r="C45" s="11" t="s">
        <v>29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"/>
      <c r="Q45" s="45"/>
      <c r="S45" s="402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4"/>
    </row>
    <row r="46" spans="2:32" ht="23.1" customHeight="1">
      <c r="B46" s="4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5"/>
      <c r="S46" s="402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4"/>
    </row>
    <row r="47" spans="2:32" ht="23.1" customHeight="1">
      <c r="B47" s="43"/>
      <c r="C47" s="1118" t="s">
        <v>30</v>
      </c>
      <c r="D47" s="1118"/>
      <c r="E47" s="665"/>
      <c r="F47" s="666"/>
      <c r="G47" s="673"/>
      <c r="H47" s="673"/>
      <c r="I47" s="673"/>
      <c r="J47" s="673"/>
      <c r="K47" s="673"/>
      <c r="L47" s="673"/>
      <c r="M47" s="673"/>
      <c r="N47" s="673"/>
      <c r="O47" s="673"/>
      <c r="P47" s="673"/>
      <c r="Q47" s="45"/>
      <c r="S47" s="402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4"/>
    </row>
    <row r="48" spans="2:32" ht="23.1" customHeight="1">
      <c r="B48" s="43"/>
      <c r="C48" s="1119" t="s">
        <v>1066</v>
      </c>
      <c r="D48" s="1119"/>
      <c r="E48" s="1119"/>
      <c r="F48" s="1119"/>
      <c r="Q48" s="45"/>
      <c r="S48" s="402"/>
      <c r="T48" s="403"/>
      <c r="U48" s="403"/>
      <c r="V48" s="403"/>
      <c r="W48" s="403"/>
      <c r="X48" s="403"/>
      <c r="Y48" s="403"/>
      <c r="Z48" s="403"/>
      <c r="AA48" s="403"/>
      <c r="AB48" s="403"/>
      <c r="AC48" s="403"/>
      <c r="AD48" s="403"/>
      <c r="AE48" s="403"/>
      <c r="AF48" s="404"/>
    </row>
    <row r="49" spans="2:32" ht="23.1" customHeight="1">
      <c r="B49" s="43"/>
      <c r="C49" s="88"/>
      <c r="D49" s="88"/>
      <c r="E49" s="88"/>
      <c r="F49" s="88"/>
      <c r="Q49" s="45"/>
      <c r="S49" s="402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4"/>
    </row>
    <row r="50" spans="2:32" ht="23.1" customHeight="1">
      <c r="B50" s="43"/>
      <c r="C50" s="88"/>
      <c r="D50" s="88"/>
      <c r="E50" s="88"/>
      <c r="F50" s="88"/>
      <c r="Q50" s="45"/>
      <c r="S50" s="402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4"/>
    </row>
    <row r="51" spans="2:32" ht="23.1" customHeight="1">
      <c r="B51" s="43"/>
      <c r="C51" s="157" t="s">
        <v>409</v>
      </c>
      <c r="D51" s="88"/>
      <c r="E51" s="88"/>
      <c r="F51" s="88"/>
      <c r="Q51" s="45"/>
      <c r="S51" s="402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4"/>
    </row>
    <row r="52" spans="2:32" ht="23.1" customHeight="1">
      <c r="B52" s="43"/>
      <c r="C52" s="638"/>
      <c r="D52" s="88"/>
      <c r="E52" s="88"/>
      <c r="F52" s="88"/>
      <c r="Q52" s="45"/>
      <c r="S52" s="402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4"/>
    </row>
    <row r="53" spans="2:32" ht="23.1" customHeight="1">
      <c r="B53" s="43"/>
      <c r="C53" s="674" t="s">
        <v>953</v>
      </c>
      <c r="D53" s="88"/>
      <c r="E53" s="88"/>
      <c r="F53" s="88"/>
      <c r="Q53" s="45"/>
      <c r="S53" s="402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4"/>
    </row>
    <row r="54" spans="2:32" ht="23.1" customHeight="1">
      <c r="B54" s="43"/>
      <c r="C54" s="674" t="s">
        <v>954</v>
      </c>
      <c r="D54" s="88"/>
      <c r="E54" s="88"/>
      <c r="F54" s="88"/>
      <c r="Q54" s="45"/>
      <c r="S54" s="402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4"/>
    </row>
    <row r="55" spans="2:32" ht="23.1" customHeight="1" thickBot="1">
      <c r="B55" s="47"/>
      <c r="C55" s="1116"/>
      <c r="D55" s="1116"/>
      <c r="E55" s="1116"/>
      <c r="F55" s="1116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50"/>
      <c r="S55" s="405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7"/>
    </row>
    <row r="56" spans="2:32" ht="23.1" customHeight="1">
      <c r="R56" s="38" t="s">
        <v>951</v>
      </c>
    </row>
    <row r="57" spans="2:32" ht="12.75">
      <c r="C57" s="34" t="s">
        <v>72</v>
      </c>
      <c r="P57" s="37" t="s">
        <v>79</v>
      </c>
    </row>
    <row r="58" spans="2:32" ht="12.75">
      <c r="C58" s="34" t="s">
        <v>73</v>
      </c>
    </row>
    <row r="59" spans="2:32" ht="12.75">
      <c r="C59" s="34" t="s">
        <v>74</v>
      </c>
    </row>
    <row r="60" spans="2:32" ht="12.75">
      <c r="C60" s="34" t="s">
        <v>75</v>
      </c>
    </row>
    <row r="61" spans="2:32" ht="12.75">
      <c r="C61" s="34" t="s">
        <v>76</v>
      </c>
    </row>
  </sheetData>
  <sheetProtection password="C494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92"/>
  <sheetViews>
    <sheetView topLeftCell="A43" zoomScaleNormal="50" zoomScalePageLayoutView="50" workbookViewId="0">
      <selection activeCell="G84" sqref="G84"/>
    </sheetView>
  </sheetViews>
  <sheetFormatPr baseColWidth="10" defaultColWidth="10.6640625" defaultRowHeight="23.1" customHeight="1"/>
  <cols>
    <col min="1" max="1" width="4.33203125" style="38" bestFit="1" customWidth="1"/>
    <col min="2" max="2" width="3.33203125" style="38" customWidth="1"/>
    <col min="3" max="3" width="13.5546875" style="38" customWidth="1"/>
    <col min="4" max="4" width="76.6640625" style="38" customWidth="1"/>
    <col min="5" max="7" width="18.33203125" style="38" customWidth="1"/>
    <col min="8" max="8" width="3.33203125" style="38" customWidth="1"/>
    <col min="9" max="16384" width="10.6640625" style="38"/>
  </cols>
  <sheetData>
    <row r="2" spans="1:23" ht="23.1" customHeight="1">
      <c r="D2" s="12" t="s">
        <v>31</v>
      </c>
    </row>
    <row r="3" spans="1:23" ht="23.1" customHeight="1">
      <c r="D3" s="12" t="s">
        <v>32</v>
      </c>
    </row>
    <row r="4" spans="1:23" ht="23.1" customHeight="1" thickBot="1">
      <c r="A4" s="38" t="s">
        <v>950</v>
      </c>
    </row>
    <row r="5" spans="1:23" ht="9" customHeight="1">
      <c r="B5" s="40"/>
      <c r="C5" s="41"/>
      <c r="D5" s="41"/>
      <c r="E5" s="41"/>
      <c r="F5" s="41"/>
      <c r="G5" s="41"/>
      <c r="H5" s="42"/>
      <c r="J5" s="386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8"/>
    </row>
    <row r="6" spans="1:23" ht="30" customHeight="1">
      <c r="B6" s="43"/>
      <c r="C6" s="1" t="s">
        <v>0</v>
      </c>
      <c r="G6" s="1110">
        <f>ejercicio</f>
        <v>2019</v>
      </c>
      <c r="H6" s="45"/>
      <c r="J6" s="389"/>
      <c r="K6" s="390" t="s">
        <v>689</v>
      </c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2"/>
    </row>
    <row r="7" spans="1:23" ht="30" customHeight="1">
      <c r="B7" s="43"/>
      <c r="C7" s="1" t="s">
        <v>1</v>
      </c>
      <c r="G7" s="1110"/>
      <c r="H7" s="45"/>
      <c r="J7" s="389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2"/>
    </row>
    <row r="8" spans="1:23" ht="30" customHeight="1">
      <c r="B8" s="43"/>
      <c r="C8" s="44"/>
      <c r="G8" s="46"/>
      <c r="H8" s="45"/>
      <c r="J8" s="389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2"/>
    </row>
    <row r="9" spans="1:23" s="53" customFormat="1" ht="30" customHeight="1">
      <c r="B9" s="51"/>
      <c r="C9" s="35" t="s">
        <v>2</v>
      </c>
      <c r="D9" s="1117" t="str">
        <f>Entidad</f>
        <v>TEA TENERIFE ESPACIO DE LAS ARTES</v>
      </c>
      <c r="E9" s="1117"/>
      <c r="F9" s="1117"/>
      <c r="G9" s="1117"/>
      <c r="H9" s="52"/>
      <c r="J9" s="393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5"/>
    </row>
    <row r="10" spans="1:23" ht="7.35" customHeight="1">
      <c r="B10" s="43"/>
      <c r="H10" s="45"/>
      <c r="J10" s="389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2"/>
    </row>
    <row r="11" spans="1:23" s="55" customFormat="1" ht="30" customHeight="1">
      <c r="B11" s="21"/>
      <c r="C11" s="10" t="s">
        <v>80</v>
      </c>
      <c r="D11" s="10"/>
      <c r="E11" s="10"/>
      <c r="F11" s="10"/>
      <c r="G11" s="10"/>
      <c r="H11" s="54"/>
      <c r="J11" s="396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8"/>
    </row>
    <row r="12" spans="1:23" s="55" customFormat="1" ht="30" customHeight="1">
      <c r="B12" s="21"/>
      <c r="H12" s="54"/>
      <c r="J12" s="396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8"/>
    </row>
    <row r="13" spans="1:23" ht="23.1" customHeight="1">
      <c r="B13" s="43"/>
      <c r="C13" s="313"/>
      <c r="D13" s="314"/>
      <c r="E13" s="315" t="s">
        <v>178</v>
      </c>
      <c r="F13" s="316" t="s">
        <v>179</v>
      </c>
      <c r="G13" s="317" t="s">
        <v>180</v>
      </c>
      <c r="H13" s="45"/>
      <c r="J13" s="389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2"/>
    </row>
    <row r="14" spans="1:23" ht="23.1" customHeight="1">
      <c r="B14" s="43"/>
      <c r="C14" s="318"/>
      <c r="D14" s="60"/>
      <c r="E14" s="299">
        <f>ejercicio-2</f>
        <v>2017</v>
      </c>
      <c r="F14" s="306">
        <f>ejercicio-1</f>
        <v>2018</v>
      </c>
      <c r="G14" s="298">
        <f>ejercicio</f>
        <v>2019</v>
      </c>
      <c r="H14" s="45"/>
      <c r="J14" s="389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2"/>
    </row>
    <row r="15" spans="1:23" ht="23.1" customHeight="1">
      <c r="B15" s="43"/>
      <c r="C15" s="319" t="s">
        <v>81</v>
      </c>
      <c r="D15" s="78" t="s">
        <v>82</v>
      </c>
      <c r="E15" s="115"/>
      <c r="F15" s="115"/>
      <c r="G15" s="115"/>
      <c r="H15" s="45"/>
      <c r="J15" s="389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2"/>
    </row>
    <row r="16" spans="1:23" ht="23.1" customHeight="1">
      <c r="B16" s="43"/>
      <c r="C16" s="323" t="s">
        <v>83</v>
      </c>
      <c r="D16" s="62" t="s">
        <v>720</v>
      </c>
      <c r="E16" s="117">
        <f>SUM(E17:E19)</f>
        <v>232348.72</v>
      </c>
      <c r="F16" s="117">
        <f>SUM(F17:F19)</f>
        <v>150136.4</v>
      </c>
      <c r="G16" s="117">
        <f>SUM(G17:G19)</f>
        <v>200000</v>
      </c>
      <c r="H16" s="45"/>
      <c r="J16" s="389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2"/>
    </row>
    <row r="17" spans="2:23" ht="23.1" customHeight="1">
      <c r="B17" s="43"/>
      <c r="C17" s="325" t="s">
        <v>84</v>
      </c>
      <c r="D17" s="63" t="s">
        <v>85</v>
      </c>
      <c r="E17" s="430">
        <v>116102.3</v>
      </c>
      <c r="F17" s="430">
        <v>136.4</v>
      </c>
      <c r="G17" s="430"/>
      <c r="H17" s="45"/>
      <c r="J17" s="389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2"/>
    </row>
    <row r="18" spans="2:23" ht="23.1" customHeight="1">
      <c r="B18" s="43"/>
      <c r="C18" s="326" t="s">
        <v>86</v>
      </c>
      <c r="D18" s="64" t="s">
        <v>87</v>
      </c>
      <c r="E18" s="431">
        <f>116819.42-573</f>
        <v>116246.42</v>
      </c>
      <c r="F18" s="431">
        <v>150000</v>
      </c>
      <c r="G18" s="431">
        <v>200000</v>
      </c>
      <c r="H18" s="45"/>
      <c r="J18" s="389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2"/>
    </row>
    <row r="19" spans="2:23" ht="23.1" customHeight="1">
      <c r="B19" s="43"/>
      <c r="C19" s="326" t="s">
        <v>88</v>
      </c>
      <c r="D19" s="64" t="s">
        <v>89</v>
      </c>
      <c r="E19" s="431"/>
      <c r="F19" s="431"/>
      <c r="G19" s="431"/>
      <c r="H19" s="45"/>
      <c r="J19" s="389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2"/>
    </row>
    <row r="20" spans="2:23" ht="23.1" customHeight="1">
      <c r="B20" s="43"/>
      <c r="C20" s="323" t="s">
        <v>90</v>
      </c>
      <c r="D20" s="62" t="s">
        <v>91</v>
      </c>
      <c r="E20" s="432">
        <v>-4964.41</v>
      </c>
      <c r="F20" s="432"/>
      <c r="G20" s="432"/>
      <c r="H20" s="45"/>
      <c r="J20" s="389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2"/>
    </row>
    <row r="21" spans="2:23" ht="23.1" customHeight="1">
      <c r="B21" s="43"/>
      <c r="C21" s="323" t="s">
        <v>92</v>
      </c>
      <c r="D21" s="62" t="s">
        <v>93</v>
      </c>
      <c r="E21" s="432"/>
      <c r="F21" s="432"/>
      <c r="G21" s="432"/>
      <c r="H21" s="45"/>
      <c r="J21" s="389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2"/>
    </row>
    <row r="22" spans="2:23" ht="23.1" customHeight="1">
      <c r="B22" s="43"/>
      <c r="C22" s="323" t="s">
        <v>94</v>
      </c>
      <c r="D22" s="62" t="s">
        <v>95</v>
      </c>
      <c r="E22" s="117">
        <f>SUM(E23:E26)</f>
        <v>-105951.98</v>
      </c>
      <c r="F22" s="117">
        <f t="shared" ref="F22:G22" si="0">SUM(F23:F26)</f>
        <v>0</v>
      </c>
      <c r="G22" s="117">
        <f t="shared" si="0"/>
        <v>0</v>
      </c>
      <c r="H22" s="45"/>
      <c r="J22" s="389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2"/>
    </row>
    <row r="23" spans="2:23" ht="23.1" customHeight="1">
      <c r="B23" s="43"/>
      <c r="C23" s="325" t="s">
        <v>84</v>
      </c>
      <c r="D23" s="63" t="s">
        <v>96</v>
      </c>
      <c r="E23" s="430">
        <v>-105951.98</v>
      </c>
      <c r="F23" s="430"/>
      <c r="G23" s="430"/>
      <c r="H23" s="45"/>
      <c r="J23" s="389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2"/>
    </row>
    <row r="24" spans="2:23" ht="23.1" customHeight="1">
      <c r="B24" s="43"/>
      <c r="C24" s="326" t="s">
        <v>86</v>
      </c>
      <c r="D24" s="64" t="s">
        <v>97</v>
      </c>
      <c r="E24" s="431"/>
      <c r="F24" s="431"/>
      <c r="G24" s="431"/>
      <c r="H24" s="45"/>
      <c r="J24" s="389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2"/>
    </row>
    <row r="25" spans="2:23" ht="23.1" customHeight="1">
      <c r="B25" s="43"/>
      <c r="C25" s="326" t="s">
        <v>88</v>
      </c>
      <c r="D25" s="64" t="s">
        <v>98</v>
      </c>
      <c r="E25" s="431"/>
      <c r="F25" s="431"/>
      <c r="G25" s="431"/>
      <c r="H25" s="45"/>
      <c r="J25" s="389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2"/>
    </row>
    <row r="26" spans="2:23" ht="23.1" customHeight="1">
      <c r="B26" s="43"/>
      <c r="C26" s="326" t="s">
        <v>99</v>
      </c>
      <c r="D26" s="64" t="s">
        <v>100</v>
      </c>
      <c r="E26" s="431"/>
      <c r="F26" s="431"/>
      <c r="G26" s="431"/>
      <c r="H26" s="45"/>
      <c r="J26" s="389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2"/>
    </row>
    <row r="27" spans="2:23" ht="23.1" customHeight="1">
      <c r="B27" s="43"/>
      <c r="C27" s="323" t="s">
        <v>101</v>
      </c>
      <c r="D27" s="62" t="s">
        <v>723</v>
      </c>
      <c r="E27" s="117">
        <f>SUM(E28:E29)</f>
        <v>1880996.8399999999</v>
      </c>
      <c r="F27" s="117">
        <f t="shared" ref="F27:G27" si="1">SUM(F28:F29)</f>
        <v>1988193.39</v>
      </c>
      <c r="G27" s="117">
        <f t="shared" si="1"/>
        <v>2040143.75</v>
      </c>
      <c r="H27" s="45"/>
      <c r="J27" s="389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2"/>
    </row>
    <row r="28" spans="2:23" ht="23.1" customHeight="1">
      <c r="B28" s="43"/>
      <c r="C28" s="325" t="s">
        <v>84</v>
      </c>
      <c r="D28" s="63" t="s">
        <v>102</v>
      </c>
      <c r="E28" s="430">
        <f>2700+154962.94</f>
        <v>157662.94</v>
      </c>
      <c r="F28" s="430">
        <f>78568.21+41431.79</f>
        <v>120000</v>
      </c>
      <c r="G28" s="430">
        <v>215260</v>
      </c>
      <c r="H28" s="45"/>
      <c r="J28" s="389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2"/>
    </row>
    <row r="29" spans="2:23" ht="23.1" customHeight="1">
      <c r="B29" s="43"/>
      <c r="C29" s="326" t="s">
        <v>86</v>
      </c>
      <c r="D29" s="64" t="s">
        <v>103</v>
      </c>
      <c r="E29" s="431">
        <v>1723333.9</v>
      </c>
      <c r="F29" s="431">
        <v>1868193.39</v>
      </c>
      <c r="G29" s="431">
        <v>1824883.75</v>
      </c>
      <c r="H29" s="45"/>
      <c r="J29" s="389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2"/>
    </row>
    <row r="30" spans="2:23" ht="23.1" customHeight="1">
      <c r="B30" s="43"/>
      <c r="C30" s="323" t="s">
        <v>104</v>
      </c>
      <c r="D30" s="62" t="s">
        <v>105</v>
      </c>
      <c r="E30" s="117">
        <f>SUM(E31:E33)</f>
        <v>-581230.18999999994</v>
      </c>
      <c r="F30" s="117">
        <f t="shared" ref="F30:G30" si="2">SUM(F31:F33)</f>
        <v>-623795.48</v>
      </c>
      <c r="G30" s="117">
        <f t="shared" si="2"/>
        <v>-648064.86</v>
      </c>
      <c r="H30" s="45"/>
      <c r="J30" s="399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1"/>
    </row>
    <row r="31" spans="2:23" ht="23.1" customHeight="1">
      <c r="B31" s="43"/>
      <c r="C31" s="325" t="s">
        <v>84</v>
      </c>
      <c r="D31" s="63" t="s">
        <v>106</v>
      </c>
      <c r="E31" s="430">
        <v>-458984.61</v>
      </c>
      <c r="F31" s="430">
        <f>-431833.04-51341.03</f>
        <v>-483174.06999999995</v>
      </c>
      <c r="G31" s="430">
        <v>-500515.5</v>
      </c>
      <c r="H31" s="45"/>
      <c r="J31" s="399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1"/>
    </row>
    <row r="32" spans="2:23" ht="23.1" customHeight="1">
      <c r="B32" s="43"/>
      <c r="C32" s="326" t="s">
        <v>86</v>
      </c>
      <c r="D32" s="64" t="s">
        <v>107</v>
      </c>
      <c r="E32" s="431">
        <f>-119332.72-2912.86</f>
        <v>-122245.58</v>
      </c>
      <c r="F32" s="431">
        <f>-137958.04-2663.37</f>
        <v>-140621.41</v>
      </c>
      <c r="G32" s="431">
        <f>-140993.03-6556.33</f>
        <v>-147549.35999999999</v>
      </c>
      <c r="H32" s="45"/>
      <c r="J32" s="389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2"/>
    </row>
    <row r="33" spans="2:23" ht="23.1" customHeight="1">
      <c r="B33" s="43"/>
      <c r="C33" s="326" t="s">
        <v>88</v>
      </c>
      <c r="D33" s="64" t="s">
        <v>108</v>
      </c>
      <c r="E33" s="431"/>
      <c r="F33" s="431"/>
      <c r="G33" s="431"/>
      <c r="H33" s="45"/>
      <c r="J33" s="389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2"/>
    </row>
    <row r="34" spans="2:23" ht="23.1" customHeight="1">
      <c r="B34" s="43"/>
      <c r="C34" s="323" t="s">
        <v>109</v>
      </c>
      <c r="D34" s="62" t="s">
        <v>110</v>
      </c>
      <c r="E34" s="117">
        <f>SUM(E35:E39)</f>
        <v>-2513981.73</v>
      </c>
      <c r="F34" s="117">
        <f t="shared" ref="F34:G34" si="3">SUM(F35:F39)</f>
        <v>-2848917.84</v>
      </c>
      <c r="G34" s="117">
        <f t="shared" si="3"/>
        <v>-2948811.07</v>
      </c>
      <c r="H34" s="45"/>
      <c r="J34" s="389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2"/>
    </row>
    <row r="35" spans="2:23" ht="23.1" customHeight="1">
      <c r="B35" s="43"/>
      <c r="C35" s="325" t="s">
        <v>84</v>
      </c>
      <c r="D35" s="63" t="s">
        <v>111</v>
      </c>
      <c r="E35" s="430">
        <f>-2513981.73+13956.35</f>
        <v>-2500025.38</v>
      </c>
      <c r="F35" s="430">
        <f>-2848917.84+13500</f>
        <v>-2835417.84</v>
      </c>
      <c r="G35" s="430">
        <f>-2948811.07+13000</f>
        <v>-2935811.07</v>
      </c>
      <c r="H35" s="45"/>
      <c r="J35" s="389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2"/>
    </row>
    <row r="36" spans="2:23" ht="23.1" customHeight="1">
      <c r="B36" s="43"/>
      <c r="C36" s="326" t="s">
        <v>86</v>
      </c>
      <c r="D36" s="64" t="s">
        <v>112</v>
      </c>
      <c r="E36" s="431">
        <v>-13956.35</v>
      </c>
      <c r="F36" s="431">
        <v>-13500</v>
      </c>
      <c r="G36" s="431">
        <v>-13000</v>
      </c>
      <c r="H36" s="45"/>
      <c r="J36" s="402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4"/>
    </row>
    <row r="37" spans="2:23" ht="23.1" customHeight="1">
      <c r="B37" s="43"/>
      <c r="C37" s="326" t="s">
        <v>88</v>
      </c>
      <c r="D37" s="64" t="s">
        <v>113</v>
      </c>
      <c r="E37" s="431"/>
      <c r="F37" s="431"/>
      <c r="G37" s="431"/>
      <c r="H37" s="45"/>
      <c r="J37" s="402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4"/>
    </row>
    <row r="38" spans="2:23" ht="23.1" customHeight="1">
      <c r="B38" s="43"/>
      <c r="C38" s="326" t="s">
        <v>99</v>
      </c>
      <c r="D38" s="64" t="s">
        <v>114</v>
      </c>
      <c r="E38" s="431"/>
      <c r="F38" s="431"/>
      <c r="G38" s="431"/>
      <c r="H38" s="45"/>
      <c r="J38" s="402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4"/>
    </row>
    <row r="39" spans="2:23" ht="23.1" customHeight="1">
      <c r="B39" s="43"/>
      <c r="C39" s="326" t="s">
        <v>115</v>
      </c>
      <c r="D39" s="64" t="s">
        <v>116</v>
      </c>
      <c r="E39" s="431"/>
      <c r="F39" s="431"/>
      <c r="G39" s="431"/>
      <c r="H39" s="45"/>
      <c r="J39" s="402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4"/>
    </row>
    <row r="40" spans="2:23" ht="23.1" customHeight="1">
      <c r="B40" s="43"/>
      <c r="C40" s="323" t="s">
        <v>117</v>
      </c>
      <c r="D40" s="62" t="s">
        <v>118</v>
      </c>
      <c r="E40" s="432">
        <v>-24301.16</v>
      </c>
      <c r="F40" s="432">
        <v>-24103.31</v>
      </c>
      <c r="G40" s="432">
        <f>-24000-8000</f>
        <v>-32000</v>
      </c>
      <c r="H40" s="45"/>
      <c r="J40" s="402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4"/>
    </row>
    <row r="41" spans="2:23" ht="23.1" customHeight="1">
      <c r="B41" s="43"/>
      <c r="C41" s="323" t="s">
        <v>119</v>
      </c>
      <c r="D41" s="62" t="s">
        <v>120</v>
      </c>
      <c r="E41" s="432"/>
      <c r="F41" s="432"/>
      <c r="G41" s="432">
        <v>8000</v>
      </c>
      <c r="H41" s="45"/>
      <c r="J41" s="402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4"/>
    </row>
    <row r="42" spans="2:23" ht="23.1" customHeight="1">
      <c r="B42" s="43"/>
      <c r="C42" s="323" t="s">
        <v>121</v>
      </c>
      <c r="D42" s="62" t="s">
        <v>122</v>
      </c>
      <c r="E42" s="432"/>
      <c r="F42" s="432"/>
      <c r="G42" s="432"/>
      <c r="H42" s="45"/>
      <c r="J42" s="402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4"/>
    </row>
    <row r="43" spans="2:23" ht="23.1" customHeight="1">
      <c r="B43" s="43"/>
      <c r="C43" s="323" t="s">
        <v>123</v>
      </c>
      <c r="D43" s="62" t="s">
        <v>124</v>
      </c>
      <c r="E43" s="117">
        <f>SUM(E44:E46)</f>
        <v>0</v>
      </c>
      <c r="F43" s="117">
        <f t="shared" ref="F43:G43" si="4">SUM(F44:F46)</f>
        <v>0</v>
      </c>
      <c r="G43" s="117">
        <f t="shared" si="4"/>
        <v>0</v>
      </c>
      <c r="H43" s="45"/>
      <c r="J43" s="402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4"/>
    </row>
    <row r="44" spans="2:23" ht="23.1" customHeight="1">
      <c r="B44" s="43"/>
      <c r="C44" s="325" t="s">
        <v>84</v>
      </c>
      <c r="D44" s="63" t="s">
        <v>125</v>
      </c>
      <c r="E44" s="430"/>
      <c r="F44" s="430"/>
      <c r="G44" s="430"/>
      <c r="H44" s="45"/>
      <c r="J44" s="402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4"/>
    </row>
    <row r="45" spans="2:23" ht="23.1" customHeight="1">
      <c r="B45" s="43"/>
      <c r="C45" s="326" t="s">
        <v>86</v>
      </c>
      <c r="D45" s="64" t="s">
        <v>126</v>
      </c>
      <c r="E45" s="431"/>
      <c r="F45" s="431"/>
      <c r="G45" s="431"/>
      <c r="H45" s="45"/>
      <c r="J45" s="402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4"/>
    </row>
    <row r="46" spans="2:23" ht="23.1" customHeight="1">
      <c r="B46" s="43"/>
      <c r="C46" s="326" t="s">
        <v>88</v>
      </c>
      <c r="D46" s="64" t="s">
        <v>127</v>
      </c>
      <c r="E46" s="431"/>
      <c r="F46" s="431"/>
      <c r="G46" s="431"/>
      <c r="H46" s="45"/>
      <c r="J46" s="402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4"/>
    </row>
    <row r="47" spans="2:23" ht="23.1" customHeight="1">
      <c r="B47" s="43"/>
      <c r="C47" s="323" t="s">
        <v>128</v>
      </c>
      <c r="D47" s="62" t="s">
        <v>129</v>
      </c>
      <c r="E47" s="432"/>
      <c r="F47" s="432"/>
      <c r="G47" s="432"/>
      <c r="H47" s="45"/>
      <c r="J47" s="402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4"/>
    </row>
    <row r="48" spans="2:23" ht="23.1" customHeight="1">
      <c r="B48" s="43"/>
      <c r="C48" s="323" t="s">
        <v>130</v>
      </c>
      <c r="D48" s="62" t="s">
        <v>724</v>
      </c>
      <c r="E48" s="432">
        <v>-68251.399999999994</v>
      </c>
      <c r="F48" s="432">
        <f>6000+68787.38+188404.11</f>
        <v>263191.49</v>
      </c>
      <c r="G48" s="432"/>
      <c r="H48" s="45"/>
      <c r="J48" s="402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4"/>
    </row>
    <row r="49" spans="2:23" s="67" customFormat="1" ht="23.1" customHeight="1" thickBot="1">
      <c r="B49" s="21"/>
      <c r="C49" s="332" t="s">
        <v>131</v>
      </c>
      <c r="D49" s="75" t="s">
        <v>132</v>
      </c>
      <c r="E49" s="340">
        <f>E16+E20+E21+E22+E27+E30+E34+E40+E41+E42+E43+E47+E48</f>
        <v>-1185335.3099999998</v>
      </c>
      <c r="F49" s="340">
        <f t="shared" ref="F49:G49" si="5">F16+F20+F21+F22+F27+F30+F34+F40+F41+F42+F43+F47+F48</f>
        <v>-1095295.3499999999</v>
      </c>
      <c r="G49" s="340">
        <f t="shared" si="5"/>
        <v>-1380732.1799999997</v>
      </c>
      <c r="H49" s="54"/>
      <c r="I49" s="38"/>
      <c r="J49" s="402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4"/>
    </row>
    <row r="50" spans="2:23" ht="23.1" customHeight="1">
      <c r="B50" s="43"/>
      <c r="C50" s="333"/>
      <c r="D50" s="1"/>
      <c r="E50" s="115"/>
      <c r="F50" s="115"/>
      <c r="G50" s="115"/>
      <c r="H50" s="45"/>
      <c r="J50" s="402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4"/>
    </row>
    <row r="51" spans="2:23" ht="23.1" customHeight="1">
      <c r="B51" s="43"/>
      <c r="C51" s="323" t="s">
        <v>133</v>
      </c>
      <c r="D51" s="62" t="s">
        <v>134</v>
      </c>
      <c r="E51" s="117">
        <f>E52+E55+E58</f>
        <v>66.28</v>
      </c>
      <c r="F51" s="117">
        <f t="shared" ref="F51:G51" si="6">F52+F55+F58</f>
        <v>0</v>
      </c>
      <c r="G51" s="117">
        <f t="shared" si="6"/>
        <v>0</v>
      </c>
      <c r="H51" s="45"/>
      <c r="J51" s="402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4"/>
    </row>
    <row r="52" spans="2:23" ht="23.1" customHeight="1">
      <c r="B52" s="43"/>
      <c r="C52" s="325" t="s">
        <v>84</v>
      </c>
      <c r="D52" s="63" t="s">
        <v>135</v>
      </c>
      <c r="E52" s="118">
        <f>SUM(E53:E54)</f>
        <v>0</v>
      </c>
      <c r="F52" s="118">
        <f t="shared" ref="F52:G52" si="7">SUM(F53:F54)</f>
        <v>0</v>
      </c>
      <c r="G52" s="118">
        <f t="shared" si="7"/>
        <v>0</v>
      </c>
      <c r="H52" s="45"/>
      <c r="J52" s="402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4"/>
    </row>
    <row r="53" spans="2:23" ht="23.1" customHeight="1">
      <c r="B53" s="43"/>
      <c r="C53" s="334" t="s">
        <v>136</v>
      </c>
      <c r="D53" s="70" t="s">
        <v>137</v>
      </c>
      <c r="E53" s="652"/>
      <c r="F53" s="652"/>
      <c r="G53" s="652"/>
      <c r="H53" s="45"/>
      <c r="J53" s="402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4"/>
    </row>
    <row r="54" spans="2:23" ht="23.1" customHeight="1">
      <c r="B54" s="43"/>
      <c r="C54" s="334" t="s">
        <v>138</v>
      </c>
      <c r="D54" s="70" t="s">
        <v>139</v>
      </c>
      <c r="E54" s="652"/>
      <c r="F54" s="652"/>
      <c r="G54" s="652"/>
      <c r="H54" s="45"/>
      <c r="J54" s="402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4"/>
    </row>
    <row r="55" spans="2:23" ht="23.1" customHeight="1">
      <c r="B55" s="43"/>
      <c r="C55" s="335" t="s">
        <v>86</v>
      </c>
      <c r="D55" s="65" t="s">
        <v>140</v>
      </c>
      <c r="E55" s="341">
        <f>SUM(E56:E57)</f>
        <v>66.28</v>
      </c>
      <c r="F55" s="341">
        <f t="shared" ref="F55:G55" si="8">SUM(F56:F57)</f>
        <v>0</v>
      </c>
      <c r="G55" s="341">
        <f t="shared" si="8"/>
        <v>0</v>
      </c>
      <c r="H55" s="45"/>
      <c r="J55" s="402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4"/>
    </row>
    <row r="56" spans="2:23" ht="23.1" customHeight="1">
      <c r="B56" s="43"/>
      <c r="C56" s="334" t="s">
        <v>141</v>
      </c>
      <c r="D56" s="70" t="s">
        <v>142</v>
      </c>
      <c r="E56" s="652"/>
      <c r="F56" s="652"/>
      <c r="G56" s="652"/>
      <c r="H56" s="45"/>
      <c r="J56" s="402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4"/>
    </row>
    <row r="57" spans="2:23" ht="23.1" customHeight="1">
      <c r="B57" s="43"/>
      <c r="C57" s="334" t="s">
        <v>143</v>
      </c>
      <c r="D57" s="70" t="s">
        <v>144</v>
      </c>
      <c r="E57" s="652">
        <v>66.28</v>
      </c>
      <c r="F57" s="652"/>
      <c r="G57" s="652"/>
      <c r="H57" s="45"/>
      <c r="J57" s="402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4"/>
    </row>
    <row r="58" spans="2:23" ht="23.1" customHeight="1">
      <c r="B58" s="43"/>
      <c r="C58" s="335" t="s">
        <v>88</v>
      </c>
      <c r="D58" s="65" t="s">
        <v>145</v>
      </c>
      <c r="E58" s="433"/>
      <c r="F58" s="433"/>
      <c r="G58" s="433"/>
      <c r="H58" s="45"/>
      <c r="J58" s="402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4"/>
    </row>
    <row r="59" spans="2:23" ht="23.1" customHeight="1">
      <c r="B59" s="43"/>
      <c r="C59" s="323" t="s">
        <v>146</v>
      </c>
      <c r="D59" s="62" t="s">
        <v>147</v>
      </c>
      <c r="E59" s="117">
        <f>SUM(E60:E62)</f>
        <v>-50</v>
      </c>
      <c r="F59" s="117">
        <f t="shared" ref="F59:G59" si="9">SUM(F60:F62)</f>
        <v>-31.07</v>
      </c>
      <c r="G59" s="117">
        <f t="shared" si="9"/>
        <v>0</v>
      </c>
      <c r="H59" s="45"/>
      <c r="J59" s="402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4"/>
    </row>
    <row r="60" spans="2:23" ht="23.1" customHeight="1">
      <c r="B60" s="43"/>
      <c r="C60" s="335" t="s">
        <v>84</v>
      </c>
      <c r="D60" s="65" t="s">
        <v>148</v>
      </c>
      <c r="E60" s="433"/>
      <c r="F60" s="433"/>
      <c r="G60" s="433"/>
      <c r="H60" s="45"/>
      <c r="J60" s="402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4"/>
    </row>
    <row r="61" spans="2:23" ht="23.1" customHeight="1">
      <c r="B61" s="43"/>
      <c r="C61" s="335" t="s">
        <v>86</v>
      </c>
      <c r="D61" s="65" t="s">
        <v>149</v>
      </c>
      <c r="E61" s="433">
        <v>-50</v>
      </c>
      <c r="F61" s="433">
        <v>-31.07</v>
      </c>
      <c r="G61" s="433"/>
      <c r="H61" s="45"/>
      <c r="J61" s="402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4"/>
    </row>
    <row r="62" spans="2:23" ht="23.1" customHeight="1">
      <c r="B62" s="43"/>
      <c r="C62" s="335" t="s">
        <v>88</v>
      </c>
      <c r="D62" s="65" t="s">
        <v>150</v>
      </c>
      <c r="E62" s="433"/>
      <c r="F62" s="433"/>
      <c r="G62" s="433"/>
      <c r="H62" s="45"/>
      <c r="J62" s="402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4"/>
    </row>
    <row r="63" spans="2:23" ht="23.1" customHeight="1">
      <c r="B63" s="43"/>
      <c r="C63" s="323" t="s">
        <v>151</v>
      </c>
      <c r="D63" s="62" t="s">
        <v>152</v>
      </c>
      <c r="E63" s="117">
        <f>SUM(E64:E65)</f>
        <v>0</v>
      </c>
      <c r="F63" s="117">
        <f t="shared" ref="F63:G63" si="10">SUM(F64:F65)</f>
        <v>0</v>
      </c>
      <c r="G63" s="117">
        <f t="shared" si="10"/>
        <v>0</v>
      </c>
      <c r="H63" s="45"/>
      <c r="J63" s="402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4"/>
    </row>
    <row r="64" spans="2:23" ht="23.1" customHeight="1">
      <c r="B64" s="43"/>
      <c r="C64" s="335" t="s">
        <v>84</v>
      </c>
      <c r="D64" s="65" t="s">
        <v>153</v>
      </c>
      <c r="E64" s="433"/>
      <c r="F64" s="433"/>
      <c r="G64" s="433"/>
      <c r="H64" s="45"/>
      <c r="J64" s="402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4"/>
    </row>
    <row r="65" spans="2:23" ht="23.1" customHeight="1">
      <c r="B65" s="43"/>
      <c r="C65" s="335" t="s">
        <v>86</v>
      </c>
      <c r="D65" s="65" t="s">
        <v>154</v>
      </c>
      <c r="E65" s="433"/>
      <c r="F65" s="433"/>
      <c r="G65" s="433"/>
      <c r="H65" s="45"/>
      <c r="J65" s="402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4"/>
    </row>
    <row r="66" spans="2:23" ht="23.1" customHeight="1">
      <c r="B66" s="43"/>
      <c r="C66" s="323" t="s">
        <v>155</v>
      </c>
      <c r="D66" s="62" t="s">
        <v>156</v>
      </c>
      <c r="E66" s="117">
        <v>0</v>
      </c>
      <c r="F66" s="117">
        <v>0</v>
      </c>
      <c r="G66" s="117">
        <v>0</v>
      </c>
      <c r="H66" s="45"/>
      <c r="J66" s="402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4"/>
    </row>
    <row r="67" spans="2:23" ht="23.1" customHeight="1">
      <c r="B67" s="43"/>
      <c r="C67" s="323" t="s">
        <v>157</v>
      </c>
      <c r="D67" s="62" t="s">
        <v>158</v>
      </c>
      <c r="E67" s="117">
        <f>SUM(E68:E69)</f>
        <v>0</v>
      </c>
      <c r="F67" s="117">
        <f t="shared" ref="F67:G67" si="11">SUM(F68:F69)</f>
        <v>0</v>
      </c>
      <c r="G67" s="117">
        <f t="shared" si="11"/>
        <v>0</v>
      </c>
      <c r="H67" s="45"/>
      <c r="J67" s="402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4"/>
    </row>
    <row r="68" spans="2:23" ht="23.1" customHeight="1">
      <c r="B68" s="43"/>
      <c r="C68" s="335" t="s">
        <v>84</v>
      </c>
      <c r="D68" s="65" t="s">
        <v>159</v>
      </c>
      <c r="E68" s="433"/>
      <c r="F68" s="433"/>
      <c r="G68" s="433"/>
      <c r="H68" s="45"/>
      <c r="J68" s="402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4"/>
    </row>
    <row r="69" spans="2:23" ht="23.1" customHeight="1">
      <c r="B69" s="43"/>
      <c r="C69" s="335" t="s">
        <v>86</v>
      </c>
      <c r="D69" s="65" t="s">
        <v>126</v>
      </c>
      <c r="E69" s="433"/>
      <c r="F69" s="433"/>
      <c r="G69" s="433"/>
      <c r="H69" s="45"/>
      <c r="J69" s="402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4"/>
    </row>
    <row r="70" spans="2:23" ht="23.1" customHeight="1">
      <c r="B70" s="43"/>
      <c r="C70" s="323" t="s">
        <v>160</v>
      </c>
      <c r="D70" s="62" t="s">
        <v>161</v>
      </c>
      <c r="E70" s="117">
        <f>SUM(E71:E73)</f>
        <v>0</v>
      </c>
      <c r="F70" s="117">
        <f t="shared" ref="F70:G70" si="12">SUM(F71:F73)</f>
        <v>0</v>
      </c>
      <c r="G70" s="117">
        <f t="shared" si="12"/>
        <v>0</v>
      </c>
      <c r="H70" s="45"/>
      <c r="J70" s="402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4"/>
    </row>
    <row r="71" spans="2:23" ht="23.1" customHeight="1">
      <c r="B71" s="43"/>
      <c r="C71" s="335" t="s">
        <v>84</v>
      </c>
      <c r="D71" s="65" t="s">
        <v>162</v>
      </c>
      <c r="E71" s="433"/>
      <c r="F71" s="433"/>
      <c r="G71" s="433"/>
      <c r="H71" s="45"/>
      <c r="J71" s="402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4"/>
    </row>
    <row r="72" spans="2:23" ht="23.1" customHeight="1">
      <c r="B72" s="43"/>
      <c r="C72" s="335" t="s">
        <v>86</v>
      </c>
      <c r="D72" s="65" t="s">
        <v>163</v>
      </c>
      <c r="E72" s="433"/>
      <c r="F72" s="433"/>
      <c r="G72" s="433"/>
      <c r="H72" s="45"/>
      <c r="J72" s="402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4"/>
    </row>
    <row r="73" spans="2:23" ht="23.1" customHeight="1">
      <c r="B73" s="43"/>
      <c r="C73" s="335" t="s">
        <v>88</v>
      </c>
      <c r="D73" s="65" t="s">
        <v>164</v>
      </c>
      <c r="E73" s="433"/>
      <c r="F73" s="433"/>
      <c r="G73" s="433"/>
      <c r="H73" s="45"/>
      <c r="J73" s="402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4"/>
    </row>
    <row r="74" spans="2:23" s="67" customFormat="1" ht="23.1" customHeight="1" thickBot="1">
      <c r="B74" s="21"/>
      <c r="C74" s="336" t="s">
        <v>165</v>
      </c>
      <c r="D74" s="66" t="s">
        <v>166</v>
      </c>
      <c r="E74" s="340">
        <f>E51+E59+E63+E66+E67+E70</f>
        <v>16.28</v>
      </c>
      <c r="F74" s="340">
        <f>F51+F59+F63+F66+F67+F70</f>
        <v>-31.07</v>
      </c>
      <c r="G74" s="340">
        <f>G51+G59+G63+G66+G67+G70</f>
        <v>0</v>
      </c>
      <c r="H74" s="54"/>
      <c r="J74" s="402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4"/>
    </row>
    <row r="75" spans="2:23" ht="23.1" customHeight="1">
      <c r="B75" s="43"/>
      <c r="C75" s="337"/>
      <c r="D75" s="69"/>
      <c r="E75" s="342"/>
      <c r="F75" s="342"/>
      <c r="G75" s="342"/>
      <c r="H75" s="45"/>
      <c r="J75" s="402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4"/>
    </row>
    <row r="76" spans="2:23" s="67" customFormat="1" ht="23.1" customHeight="1" thickBot="1">
      <c r="B76" s="21"/>
      <c r="C76" s="338" t="s">
        <v>167</v>
      </c>
      <c r="D76" s="68" t="s">
        <v>168</v>
      </c>
      <c r="E76" s="343">
        <f>E74+E49</f>
        <v>-1185319.0299999998</v>
      </c>
      <c r="F76" s="343">
        <f t="shared" ref="F76:G76" si="13">F74+F49</f>
        <v>-1095326.42</v>
      </c>
      <c r="G76" s="343">
        <f t="shared" si="13"/>
        <v>-1380732.1799999997</v>
      </c>
      <c r="H76" s="54"/>
      <c r="J76" s="402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4"/>
    </row>
    <row r="77" spans="2:23" ht="23.1" customHeight="1">
      <c r="B77" s="43"/>
      <c r="C77" s="323" t="s">
        <v>169</v>
      </c>
      <c r="D77" s="62" t="s">
        <v>170</v>
      </c>
      <c r="E77" s="432"/>
      <c r="F77" s="432"/>
      <c r="G77" s="432"/>
      <c r="H77" s="45"/>
      <c r="J77" s="402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4"/>
    </row>
    <row r="78" spans="2:23" ht="23.1" customHeight="1">
      <c r="B78" s="43"/>
      <c r="C78" s="328"/>
      <c r="D78" s="53"/>
      <c r="E78" s="115"/>
      <c r="F78" s="115"/>
      <c r="G78" s="115"/>
      <c r="H78" s="45"/>
      <c r="J78" s="402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4"/>
    </row>
    <row r="79" spans="2:23" s="67" customFormat="1" ht="23.1" customHeight="1" thickBot="1">
      <c r="B79" s="21"/>
      <c r="C79" s="338" t="s">
        <v>171</v>
      </c>
      <c r="D79" s="68" t="s">
        <v>181</v>
      </c>
      <c r="E79" s="343">
        <f>E76+E77</f>
        <v>-1185319.0299999998</v>
      </c>
      <c r="F79" s="343">
        <f>F76+F77</f>
        <v>-1095326.42</v>
      </c>
      <c r="G79" s="343">
        <f>G76+G77</f>
        <v>-1380732.1799999997</v>
      </c>
      <c r="H79" s="54"/>
      <c r="J79" s="402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4"/>
    </row>
    <row r="80" spans="2:23" ht="23.1" customHeight="1">
      <c r="B80" s="43"/>
      <c r="C80" s="328"/>
      <c r="D80" s="53"/>
      <c r="E80" s="115"/>
      <c r="F80" s="115"/>
      <c r="G80" s="115"/>
      <c r="H80" s="45"/>
      <c r="J80" s="402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4"/>
    </row>
    <row r="81" spans="2:23" ht="23.1" customHeight="1">
      <c r="B81" s="43"/>
      <c r="C81" s="319" t="s">
        <v>172</v>
      </c>
      <c r="D81" s="78" t="s">
        <v>173</v>
      </c>
      <c r="E81" s="115"/>
      <c r="F81" s="115"/>
      <c r="G81" s="115"/>
      <c r="H81" s="45"/>
      <c r="J81" s="402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4"/>
    </row>
    <row r="82" spans="2:23" ht="23.1" customHeight="1">
      <c r="B82" s="43"/>
      <c r="C82" s="323" t="s">
        <v>174</v>
      </c>
      <c r="D82" s="62" t="s">
        <v>175</v>
      </c>
      <c r="E82" s="432"/>
      <c r="F82" s="432"/>
      <c r="G82" s="432"/>
      <c r="H82" s="45"/>
      <c r="J82" s="402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4"/>
    </row>
    <row r="83" spans="2:23" ht="23.1" customHeight="1">
      <c r="B83" s="43"/>
      <c r="C83" s="328"/>
      <c r="D83" s="53"/>
      <c r="E83" s="115"/>
      <c r="F83" s="115"/>
      <c r="G83" s="115"/>
      <c r="H83" s="45"/>
      <c r="J83" s="402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4"/>
    </row>
    <row r="84" spans="2:23" s="67" customFormat="1" ht="23.1" customHeight="1" thickBot="1">
      <c r="B84" s="21"/>
      <c r="C84" s="339" t="s">
        <v>176</v>
      </c>
      <c r="D84" s="71" t="s">
        <v>177</v>
      </c>
      <c r="E84" s="121">
        <f>E79+E82</f>
        <v>-1185319.0299999998</v>
      </c>
      <c r="F84" s="121">
        <f t="shared" ref="F84:G84" si="14">F79+F82</f>
        <v>-1095326.42</v>
      </c>
      <c r="G84" s="121">
        <f t="shared" si="14"/>
        <v>-1380732.1799999997</v>
      </c>
      <c r="H84" s="54"/>
      <c r="J84" s="402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4"/>
    </row>
    <row r="85" spans="2:23" ht="23.1" customHeight="1">
      <c r="B85" s="43"/>
      <c r="H85" s="45"/>
      <c r="J85" s="402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4"/>
    </row>
    <row r="86" spans="2:23" ht="23.1" customHeight="1" thickBot="1">
      <c r="B86" s="47"/>
      <c r="C86" s="1116"/>
      <c r="D86" s="1116"/>
      <c r="E86" s="1116"/>
      <c r="F86" s="1116"/>
      <c r="G86" s="49"/>
      <c r="H86" s="50"/>
      <c r="J86" s="405"/>
      <c r="K86" s="406"/>
      <c r="L86" s="406"/>
      <c r="M86" s="406"/>
      <c r="N86" s="406"/>
      <c r="O86" s="406"/>
      <c r="P86" s="406"/>
      <c r="Q86" s="406"/>
      <c r="R86" s="406"/>
      <c r="S86" s="406"/>
      <c r="T86" s="406"/>
      <c r="U86" s="406"/>
      <c r="V86" s="406"/>
      <c r="W86" s="407"/>
    </row>
    <row r="87" spans="2:23" ht="23.1" customHeight="1">
      <c r="I87" s="38" t="s">
        <v>951</v>
      </c>
    </row>
    <row r="88" spans="2:23" ht="12.75">
      <c r="C88" s="34" t="s">
        <v>72</v>
      </c>
      <c r="G88" s="37" t="s">
        <v>41</v>
      </c>
    </row>
    <row r="89" spans="2:23" ht="12.75">
      <c r="C89" s="34" t="s">
        <v>73</v>
      </c>
    </row>
    <row r="90" spans="2:23" ht="12.75">
      <c r="C90" s="34" t="s">
        <v>74</v>
      </c>
    </row>
    <row r="91" spans="2:23" ht="12.75">
      <c r="C91" s="34" t="s">
        <v>75</v>
      </c>
    </row>
    <row r="92" spans="2:23" ht="12.75">
      <c r="C92" s="34" t="s">
        <v>76</v>
      </c>
    </row>
  </sheetData>
  <sheetProtection password="C494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51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C100"/>
  <sheetViews>
    <sheetView topLeftCell="A42" zoomScale="93" zoomScaleNormal="125" zoomScalePageLayoutView="125" workbookViewId="0">
      <selection activeCell="C50" sqref="C50"/>
    </sheetView>
  </sheetViews>
  <sheetFormatPr baseColWidth="10" defaultColWidth="10.6640625" defaultRowHeight="23.1" customHeight="1"/>
  <cols>
    <col min="1" max="1" width="4.33203125" style="88" bestFit="1" customWidth="1"/>
    <col min="2" max="2" width="3.33203125" style="88" customWidth="1"/>
    <col min="3" max="3" width="13.5546875" style="88" customWidth="1"/>
    <col min="4" max="4" width="42.44140625" style="88" customWidth="1"/>
    <col min="5" max="6" width="15.6640625" style="89" customWidth="1"/>
    <col min="7" max="7" width="31" style="89" customWidth="1"/>
    <col min="8" max="8" width="15.5546875" style="89" customWidth="1"/>
    <col min="9" max="9" width="16.6640625" style="89" customWidth="1"/>
    <col min="10" max="10" width="30.5546875" style="89" customWidth="1"/>
    <col min="11" max="12" width="15.6640625" style="89" customWidth="1"/>
    <col min="13" max="13" width="27.33203125" style="89" customWidth="1"/>
    <col min="14" max="14" width="3.33203125" style="88" customWidth="1"/>
    <col min="15" max="16384" width="10.6640625" style="88"/>
  </cols>
  <sheetData>
    <row r="2" spans="1:29" ht="23.1" customHeight="1">
      <c r="D2" s="202" t="s">
        <v>374</v>
      </c>
    </row>
    <row r="3" spans="1:29" ht="23.1" customHeight="1">
      <c r="D3" s="202" t="s">
        <v>375</v>
      </c>
    </row>
    <row r="4" spans="1:29" ht="23.1" customHeight="1" thickBot="1">
      <c r="A4" s="88" t="s">
        <v>950</v>
      </c>
    </row>
    <row r="5" spans="1:29" ht="9" customHeight="1">
      <c r="B5" s="90"/>
      <c r="C5" s="91"/>
      <c r="D5" s="91"/>
      <c r="E5" s="92"/>
      <c r="F5" s="92"/>
      <c r="G5" s="92"/>
      <c r="H5" s="92"/>
      <c r="I5" s="92"/>
      <c r="J5" s="92"/>
      <c r="K5" s="92"/>
      <c r="L5" s="92"/>
      <c r="M5" s="92"/>
      <c r="N5" s="93"/>
      <c r="P5" s="386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8"/>
    </row>
    <row r="6" spans="1:29" ht="30" customHeight="1">
      <c r="B6" s="94"/>
      <c r="C6" s="59" t="s">
        <v>0</v>
      </c>
      <c r="M6" s="1110">
        <f>ejercicio</f>
        <v>2019</v>
      </c>
      <c r="N6" s="95"/>
      <c r="P6" s="389"/>
      <c r="Q6" s="390" t="s">
        <v>689</v>
      </c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2"/>
    </row>
    <row r="7" spans="1:29" ht="30" customHeight="1">
      <c r="B7" s="94"/>
      <c r="C7" s="59" t="s">
        <v>1</v>
      </c>
      <c r="M7" s="1110"/>
      <c r="N7" s="174"/>
      <c r="P7" s="389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2"/>
    </row>
    <row r="8" spans="1:29" ht="30" customHeight="1">
      <c r="B8" s="94"/>
      <c r="C8" s="96"/>
      <c r="N8" s="174"/>
      <c r="P8" s="389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2"/>
    </row>
    <row r="9" spans="1:29" s="175" customFormat="1" ht="30" customHeight="1">
      <c r="B9" s="173"/>
      <c r="C9" s="36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74"/>
      <c r="P9" s="393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5"/>
    </row>
    <row r="10" spans="1:29" ht="7.35" customHeight="1">
      <c r="B10" s="94"/>
      <c r="N10" s="174"/>
      <c r="P10" s="389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2"/>
    </row>
    <row r="11" spans="1:29" s="104" customFormat="1" ht="30" customHeight="1">
      <c r="B11" s="100"/>
      <c r="C11" s="101" t="s">
        <v>640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74"/>
      <c r="P11" s="396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8"/>
    </row>
    <row r="12" spans="1:29" s="104" customFormat="1" ht="30" customHeight="1">
      <c r="B12" s="100"/>
      <c r="C12" s="1128"/>
      <c r="D12" s="1128"/>
      <c r="E12" s="87"/>
      <c r="F12" s="87"/>
      <c r="G12" s="87"/>
      <c r="H12" s="87"/>
      <c r="I12" s="87"/>
      <c r="J12" s="87"/>
      <c r="K12" s="87"/>
      <c r="L12" s="87"/>
      <c r="M12" s="87"/>
      <c r="N12" s="174"/>
      <c r="P12" s="396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8"/>
    </row>
    <row r="13" spans="1:29" s="104" customFormat="1" ht="30" customHeight="1">
      <c r="B13" s="100"/>
      <c r="D13" s="19"/>
      <c r="E13" s="87"/>
      <c r="F13" s="87"/>
      <c r="G13" s="87"/>
      <c r="H13" s="87"/>
      <c r="I13" s="87"/>
      <c r="J13" s="87"/>
      <c r="K13" s="87"/>
      <c r="L13" s="87"/>
      <c r="M13" s="87"/>
      <c r="N13" s="174"/>
      <c r="P13" s="389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2"/>
    </row>
    <row r="14" spans="1:29" s="598" customFormat="1" ht="23.1" customHeight="1">
      <c r="B14" s="105"/>
      <c r="C14" s="592"/>
      <c r="D14" s="593"/>
      <c r="E14" s="594"/>
      <c r="F14" s="595" t="s">
        <v>178</v>
      </c>
      <c r="G14" s="596">
        <f>ejercicio-2</f>
        <v>2017</v>
      </c>
      <c r="H14" s="594"/>
      <c r="I14" s="597" t="s">
        <v>179</v>
      </c>
      <c r="J14" s="596">
        <f>ejercicio-1</f>
        <v>2018</v>
      </c>
      <c r="K14" s="594"/>
      <c r="L14" s="595" t="s">
        <v>180</v>
      </c>
      <c r="M14" s="596">
        <f>ejercicio</f>
        <v>2019</v>
      </c>
      <c r="N14" s="174"/>
      <c r="P14" s="389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2"/>
    </row>
    <row r="15" spans="1:29" s="46" customFormat="1" ht="23.1" customHeight="1">
      <c r="B15" s="599"/>
      <c r="C15" s="600" t="s">
        <v>657</v>
      </c>
      <c r="D15" s="601"/>
      <c r="E15" s="602" t="s">
        <v>641</v>
      </c>
      <c r="F15" s="602" t="s">
        <v>642</v>
      </c>
      <c r="G15" s="602" t="s">
        <v>575</v>
      </c>
      <c r="H15" s="602" t="s">
        <v>641</v>
      </c>
      <c r="I15" s="602" t="s">
        <v>642</v>
      </c>
      <c r="J15" s="602" t="s">
        <v>575</v>
      </c>
      <c r="K15" s="602" t="s">
        <v>641</v>
      </c>
      <c r="L15" s="602" t="s">
        <v>642</v>
      </c>
      <c r="M15" s="602" t="s">
        <v>575</v>
      </c>
      <c r="N15" s="174"/>
      <c r="P15" s="389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2"/>
    </row>
    <row r="16" spans="1:29" s="607" customFormat="1" ht="23.1" customHeight="1">
      <c r="B16" s="280"/>
      <c r="C16" s="603" t="s">
        <v>643</v>
      </c>
      <c r="D16" s="604"/>
      <c r="E16" s="178">
        <f>SUM(E17:E18)</f>
        <v>0</v>
      </c>
      <c r="F16" s="178">
        <f>SUM(F17:F18)</f>
        <v>0</v>
      </c>
      <c r="G16" s="605"/>
      <c r="H16" s="178">
        <f>SUM(H17:H18)</f>
        <v>0</v>
      </c>
      <c r="I16" s="178">
        <f>SUM(I17:I18)</f>
        <v>0</v>
      </c>
      <c r="J16" s="605"/>
      <c r="K16" s="178">
        <f>SUM(K17:K18)</f>
        <v>0</v>
      </c>
      <c r="L16" s="178">
        <f>SUM(L17:L18)</f>
        <v>0</v>
      </c>
      <c r="M16" s="606"/>
      <c r="N16" s="174"/>
      <c r="P16" s="389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2"/>
    </row>
    <row r="17" spans="2:29" s="607" customFormat="1" ht="20.100000000000001" customHeight="1">
      <c r="B17" s="280"/>
      <c r="C17" s="702"/>
      <c r="D17" s="703" t="s">
        <v>644</v>
      </c>
      <c r="E17" s="461"/>
      <c r="F17" s="461"/>
      <c r="G17" s="704"/>
      <c r="H17" s="461"/>
      <c r="I17" s="461"/>
      <c r="J17" s="704"/>
      <c r="K17" s="870"/>
      <c r="L17" s="461"/>
      <c r="M17" s="705"/>
      <c r="N17" s="281"/>
      <c r="P17" s="399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1"/>
    </row>
    <row r="18" spans="2:29" s="607" customFormat="1" ht="20.100000000000001" customHeight="1">
      <c r="B18" s="280"/>
      <c r="C18" s="706"/>
      <c r="D18" s="707" t="s">
        <v>645</v>
      </c>
      <c r="E18" s="469"/>
      <c r="F18" s="469"/>
      <c r="G18" s="708"/>
      <c r="H18" s="469"/>
      <c r="I18" s="469"/>
      <c r="J18" s="708"/>
      <c r="K18" s="469"/>
      <c r="L18" s="469"/>
      <c r="M18" s="709"/>
      <c r="N18" s="281"/>
      <c r="P18" s="399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1"/>
    </row>
    <row r="19" spans="2:29" s="607" customFormat="1" ht="23.1" customHeight="1">
      <c r="B19" s="280"/>
      <c r="C19" s="603" t="s">
        <v>646</v>
      </c>
      <c r="D19" s="604"/>
      <c r="E19" s="178">
        <f>+E20+E25</f>
        <v>0</v>
      </c>
      <c r="F19" s="178">
        <f>+F20+F25</f>
        <v>0</v>
      </c>
      <c r="G19" s="605"/>
      <c r="H19" s="178">
        <f>+H20+H25</f>
        <v>0</v>
      </c>
      <c r="I19" s="178">
        <f>+I20+I25</f>
        <v>0</v>
      </c>
      <c r="J19" s="605"/>
      <c r="K19" s="178">
        <f>+K20+K25</f>
        <v>0</v>
      </c>
      <c r="L19" s="178">
        <f>+L20+L25</f>
        <v>0</v>
      </c>
      <c r="M19" s="606"/>
      <c r="N19" s="174"/>
      <c r="P19" s="389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2"/>
    </row>
    <row r="20" spans="2:29" s="607" customFormat="1" ht="20.100000000000001" customHeight="1">
      <c r="B20" s="280"/>
      <c r="C20" s="702"/>
      <c r="D20" s="703" t="s">
        <v>776</v>
      </c>
      <c r="E20" s="158">
        <f>SUM(E21:E24)</f>
        <v>0</v>
      </c>
      <c r="F20" s="158">
        <f>SUM(F21:F24)</f>
        <v>0</v>
      </c>
      <c r="G20" s="710"/>
      <c r="H20" s="158">
        <f>SUM(H21:H24)</f>
        <v>0</v>
      </c>
      <c r="I20" s="158">
        <f>SUM(I21:I24)</f>
        <v>0</v>
      </c>
      <c r="J20" s="710"/>
      <c r="K20" s="158">
        <f>SUM(K21:K24)</f>
        <v>0</v>
      </c>
      <c r="L20" s="158">
        <f>SUM(L21:L24)</f>
        <v>0</v>
      </c>
      <c r="M20" s="711"/>
      <c r="N20" s="281"/>
      <c r="P20" s="399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1"/>
    </row>
    <row r="21" spans="2:29" s="202" customFormat="1" ht="20.100000000000001" customHeight="1">
      <c r="B21" s="173"/>
      <c r="C21" s="540"/>
      <c r="D21" s="541"/>
      <c r="E21" s="494"/>
      <c r="F21" s="494"/>
      <c r="G21" s="532"/>
      <c r="H21" s="494"/>
      <c r="I21" s="494"/>
      <c r="J21" s="532"/>
      <c r="K21" s="494"/>
      <c r="L21" s="494"/>
      <c r="M21" s="501"/>
      <c r="N21" s="174"/>
      <c r="P21" s="389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2"/>
    </row>
    <row r="22" spans="2:29" s="202" customFormat="1" ht="20.100000000000001" customHeight="1">
      <c r="B22" s="173"/>
      <c r="C22" s="540"/>
      <c r="D22" s="541"/>
      <c r="E22" s="494"/>
      <c r="F22" s="494"/>
      <c r="G22" s="532"/>
      <c r="H22" s="494"/>
      <c r="I22" s="494"/>
      <c r="J22" s="532"/>
      <c r="K22" s="494"/>
      <c r="L22" s="494"/>
      <c r="M22" s="501"/>
      <c r="N22" s="174"/>
      <c r="P22" s="389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2"/>
    </row>
    <row r="23" spans="2:29" s="202" customFormat="1" ht="20.100000000000001" customHeight="1">
      <c r="B23" s="173"/>
      <c r="C23" s="540"/>
      <c r="D23" s="541"/>
      <c r="E23" s="494"/>
      <c r="F23" s="494"/>
      <c r="G23" s="532"/>
      <c r="H23" s="494"/>
      <c r="I23" s="494"/>
      <c r="J23" s="532"/>
      <c r="K23" s="494"/>
      <c r="L23" s="494"/>
      <c r="M23" s="501"/>
      <c r="N23" s="174"/>
      <c r="P23" s="389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92"/>
    </row>
    <row r="24" spans="2:29" s="202" customFormat="1" ht="20.100000000000001" customHeight="1">
      <c r="B24" s="173"/>
      <c r="C24" s="540"/>
      <c r="D24" s="541"/>
      <c r="E24" s="494"/>
      <c r="F24" s="494"/>
      <c r="G24" s="532"/>
      <c r="H24" s="494"/>
      <c r="I24" s="494"/>
      <c r="J24" s="532"/>
      <c r="K24" s="494"/>
      <c r="L24" s="494"/>
      <c r="M24" s="501"/>
      <c r="N24" s="174"/>
      <c r="P24" s="389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2"/>
    </row>
    <row r="25" spans="2:29" s="607" customFormat="1" ht="20.100000000000001" customHeight="1">
      <c r="B25" s="280"/>
      <c r="C25" s="712"/>
      <c r="D25" s="713" t="s">
        <v>777</v>
      </c>
      <c r="E25" s="162">
        <f>SUM(E26:E29)</f>
        <v>0</v>
      </c>
      <c r="F25" s="162">
        <f>SUM(F26:F29)</f>
        <v>0</v>
      </c>
      <c r="G25" s="714"/>
      <c r="H25" s="162">
        <f>SUM(H26:H29)</f>
        <v>0</v>
      </c>
      <c r="I25" s="162">
        <f>SUM(I26:I29)</f>
        <v>0</v>
      </c>
      <c r="J25" s="714"/>
      <c r="K25" s="162">
        <f>SUM(K26:K29)</f>
        <v>0</v>
      </c>
      <c r="L25" s="162">
        <f>SUM(L26:L29)</f>
        <v>0</v>
      </c>
      <c r="M25" s="715"/>
      <c r="N25" s="281"/>
      <c r="P25" s="399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1"/>
    </row>
    <row r="26" spans="2:29" s="202" customFormat="1" ht="20.100000000000001" customHeight="1">
      <c r="B26" s="173"/>
      <c r="C26" s="540"/>
      <c r="D26" s="541"/>
      <c r="E26" s="494"/>
      <c r="F26" s="494"/>
      <c r="G26" s="532"/>
      <c r="H26" s="494"/>
      <c r="I26" s="494"/>
      <c r="J26" s="532"/>
      <c r="K26" s="494"/>
      <c r="L26" s="494"/>
      <c r="M26" s="501"/>
      <c r="N26" s="174"/>
      <c r="P26" s="389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2"/>
    </row>
    <row r="27" spans="2:29" s="202" customFormat="1" ht="20.100000000000001" customHeight="1">
      <c r="B27" s="173"/>
      <c r="C27" s="540"/>
      <c r="D27" s="541"/>
      <c r="E27" s="494"/>
      <c r="F27" s="494"/>
      <c r="G27" s="532"/>
      <c r="H27" s="494"/>
      <c r="I27" s="494"/>
      <c r="J27" s="532"/>
      <c r="K27" s="494"/>
      <c r="L27" s="494"/>
      <c r="M27" s="501"/>
      <c r="N27" s="174"/>
      <c r="P27" s="389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2"/>
    </row>
    <row r="28" spans="2:29" s="202" customFormat="1" ht="20.100000000000001" customHeight="1">
      <c r="B28" s="173"/>
      <c r="C28" s="540"/>
      <c r="D28" s="541"/>
      <c r="E28" s="494"/>
      <c r="F28" s="494"/>
      <c r="G28" s="532"/>
      <c r="H28" s="494"/>
      <c r="I28" s="494"/>
      <c r="J28" s="532"/>
      <c r="K28" s="494"/>
      <c r="L28" s="494"/>
      <c r="M28" s="501"/>
      <c r="N28" s="174"/>
      <c r="P28" s="389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2"/>
    </row>
    <row r="29" spans="2:29" s="202" customFormat="1" ht="20.100000000000001" customHeight="1">
      <c r="B29" s="173"/>
      <c r="C29" s="542"/>
      <c r="D29" s="543"/>
      <c r="E29" s="496"/>
      <c r="F29" s="496"/>
      <c r="G29" s="512"/>
      <c r="H29" s="496"/>
      <c r="I29" s="496"/>
      <c r="J29" s="512"/>
      <c r="K29" s="496"/>
      <c r="L29" s="496"/>
      <c r="M29" s="502"/>
      <c r="N29" s="174"/>
      <c r="P29" s="389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2"/>
    </row>
    <row r="30" spans="2:29" s="607" customFormat="1" ht="23.1" customHeight="1">
      <c r="B30" s="280"/>
      <c r="C30" s="603" t="s">
        <v>647</v>
      </c>
      <c r="D30" s="604"/>
      <c r="E30" s="178">
        <f>+E31+E40</f>
        <v>232348.72</v>
      </c>
      <c r="F30" s="178">
        <f>+F31+F40</f>
        <v>3504.58</v>
      </c>
      <c r="G30" s="605"/>
      <c r="H30" s="178">
        <f>+H31+H40</f>
        <v>150136.4</v>
      </c>
      <c r="I30" s="178">
        <f>+I31+I40</f>
        <v>4500</v>
      </c>
      <c r="J30" s="605"/>
      <c r="K30" s="178">
        <f>+K31+K40</f>
        <v>200000</v>
      </c>
      <c r="L30" s="178">
        <f>+L31+L40</f>
        <v>6000</v>
      </c>
      <c r="M30" s="606"/>
      <c r="N30" s="174"/>
      <c r="P30" s="399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1"/>
    </row>
    <row r="31" spans="2:29" s="620" customFormat="1" ht="19.350000000000001" customHeight="1">
      <c r="B31" s="613"/>
      <c r="C31" s="614" t="s">
        <v>648</v>
      </c>
      <c r="D31" s="615"/>
      <c r="E31" s="616">
        <f>E32+E36</f>
        <v>0</v>
      </c>
      <c r="F31" s="616">
        <f>F32+F36</f>
        <v>0</v>
      </c>
      <c r="G31" s="617"/>
      <c r="H31" s="616">
        <f>H32+H36</f>
        <v>0</v>
      </c>
      <c r="I31" s="616">
        <f>I32+I36</f>
        <v>0</v>
      </c>
      <c r="J31" s="617"/>
      <c r="K31" s="616">
        <f>K32+K36</f>
        <v>0</v>
      </c>
      <c r="L31" s="616">
        <f>L32+L36</f>
        <v>0</v>
      </c>
      <c r="M31" s="618"/>
      <c r="N31" s="619"/>
      <c r="P31" s="586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  <c r="AC31" s="588"/>
    </row>
    <row r="32" spans="2:29" s="607" customFormat="1" ht="19.350000000000001" customHeight="1">
      <c r="B32" s="280"/>
      <c r="C32" s="702"/>
      <c r="D32" s="703" t="s">
        <v>778</v>
      </c>
      <c r="E32" s="158">
        <f>SUM(E33:E35)</f>
        <v>0</v>
      </c>
      <c r="F32" s="158">
        <f>SUM(F33:F35)</f>
        <v>0</v>
      </c>
      <c r="G32" s="710"/>
      <c r="H32" s="158">
        <f>SUM(H33:H35)</f>
        <v>0</v>
      </c>
      <c r="I32" s="158">
        <f>SUM(I33:I35)</f>
        <v>0</v>
      </c>
      <c r="J32" s="710"/>
      <c r="K32" s="158">
        <f>SUM(K33:K35)</f>
        <v>0</v>
      </c>
      <c r="L32" s="158">
        <f>SUM(L33:L35)</f>
        <v>0</v>
      </c>
      <c r="M32" s="711"/>
      <c r="N32" s="281"/>
      <c r="P32" s="399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1"/>
    </row>
    <row r="33" spans="2:29" s="202" customFormat="1" ht="19.350000000000001" customHeight="1">
      <c r="B33" s="173"/>
      <c r="C33" s="538"/>
      <c r="D33" s="539"/>
      <c r="E33" s="491"/>
      <c r="F33" s="491"/>
      <c r="G33" s="530"/>
      <c r="H33" s="491"/>
      <c r="I33" s="491"/>
      <c r="J33" s="530"/>
      <c r="K33" s="491"/>
      <c r="L33" s="491"/>
      <c r="M33" s="531"/>
      <c r="N33" s="174"/>
      <c r="P33" s="389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2"/>
    </row>
    <row r="34" spans="2:29" s="202" customFormat="1" ht="19.350000000000001" customHeight="1">
      <c r="B34" s="173"/>
      <c r="C34" s="538"/>
      <c r="D34" s="539"/>
      <c r="E34" s="491"/>
      <c r="F34" s="491"/>
      <c r="G34" s="530"/>
      <c r="H34" s="491"/>
      <c r="I34" s="491"/>
      <c r="J34" s="530"/>
      <c r="K34" s="491"/>
      <c r="L34" s="491"/>
      <c r="M34" s="531"/>
      <c r="N34" s="174"/>
      <c r="P34" s="389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2"/>
    </row>
    <row r="35" spans="2:29" s="202" customFormat="1" ht="19.350000000000001" customHeight="1">
      <c r="B35" s="173"/>
      <c r="C35" s="538"/>
      <c r="D35" s="539"/>
      <c r="E35" s="491"/>
      <c r="F35" s="491"/>
      <c r="G35" s="530"/>
      <c r="H35" s="491"/>
      <c r="I35" s="491"/>
      <c r="J35" s="530"/>
      <c r="K35" s="491"/>
      <c r="L35" s="491"/>
      <c r="M35" s="531"/>
      <c r="N35" s="174"/>
      <c r="P35" s="389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2"/>
    </row>
    <row r="36" spans="2:29" s="607" customFormat="1" ht="19.350000000000001" customHeight="1">
      <c r="B36" s="280"/>
      <c r="C36" s="702"/>
      <c r="D36" s="703" t="s">
        <v>779</v>
      </c>
      <c r="E36" s="158">
        <f>SUM(E37:E39)</f>
        <v>0</v>
      </c>
      <c r="F36" s="158">
        <f>SUM(F37:F39)</f>
        <v>0</v>
      </c>
      <c r="G36" s="710"/>
      <c r="H36" s="158">
        <f>SUM(H37:H39)</f>
        <v>0</v>
      </c>
      <c r="I36" s="158">
        <f>SUM(I37:I39)</f>
        <v>0</v>
      </c>
      <c r="J36" s="710"/>
      <c r="K36" s="158">
        <f>SUM(K37:K39)</f>
        <v>0</v>
      </c>
      <c r="L36" s="158">
        <f>SUM(L37:L39)</f>
        <v>0</v>
      </c>
      <c r="M36" s="711"/>
      <c r="N36" s="281"/>
      <c r="P36" s="716"/>
      <c r="Q36" s="717"/>
      <c r="R36" s="717"/>
      <c r="S36" s="717"/>
      <c r="T36" s="717"/>
      <c r="U36" s="717"/>
      <c r="V36" s="717"/>
      <c r="W36" s="717"/>
      <c r="X36" s="717"/>
      <c r="Y36" s="717"/>
      <c r="Z36" s="717"/>
      <c r="AA36" s="717"/>
      <c r="AB36" s="717"/>
      <c r="AC36" s="718"/>
    </row>
    <row r="37" spans="2:29" s="202" customFormat="1" ht="19.350000000000001" customHeight="1">
      <c r="B37" s="173"/>
      <c r="C37" s="538"/>
      <c r="D37" s="539"/>
      <c r="E37" s="491"/>
      <c r="F37" s="491"/>
      <c r="G37" s="530"/>
      <c r="H37" s="491"/>
      <c r="I37" s="491"/>
      <c r="J37" s="530"/>
      <c r="K37" s="491"/>
      <c r="L37" s="491"/>
      <c r="M37" s="531"/>
      <c r="N37" s="174"/>
      <c r="P37" s="402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4"/>
    </row>
    <row r="38" spans="2:29" s="202" customFormat="1" ht="19.350000000000001" customHeight="1">
      <c r="B38" s="173"/>
      <c r="C38" s="538"/>
      <c r="D38" s="539"/>
      <c r="E38" s="491"/>
      <c r="F38" s="491"/>
      <c r="G38" s="530"/>
      <c r="H38" s="491"/>
      <c r="I38" s="491"/>
      <c r="J38" s="530"/>
      <c r="K38" s="491"/>
      <c r="L38" s="491"/>
      <c r="M38" s="531"/>
      <c r="N38" s="174"/>
      <c r="P38" s="402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4"/>
    </row>
    <row r="39" spans="2:29" s="202" customFormat="1" ht="19.350000000000001" customHeight="1">
      <c r="B39" s="173"/>
      <c r="C39" s="538"/>
      <c r="D39" s="539"/>
      <c r="E39" s="491"/>
      <c r="F39" s="491"/>
      <c r="G39" s="530"/>
      <c r="H39" s="491"/>
      <c r="I39" s="491"/>
      <c r="J39" s="530"/>
      <c r="K39" s="491"/>
      <c r="L39" s="491"/>
      <c r="M39" s="531"/>
      <c r="N39" s="174"/>
      <c r="P39" s="402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4"/>
    </row>
    <row r="40" spans="2:29" s="620" customFormat="1" ht="19.350000000000001" customHeight="1">
      <c r="B40" s="613"/>
      <c r="C40" s="614" t="s">
        <v>649</v>
      </c>
      <c r="D40" s="615"/>
      <c r="E40" s="616">
        <f>+E41+E42</f>
        <v>232348.72</v>
      </c>
      <c r="F40" s="616">
        <f>+F41+F42</f>
        <v>3504.58</v>
      </c>
      <c r="G40" s="617"/>
      <c r="H40" s="616">
        <f>+H41+H42</f>
        <v>150136.4</v>
      </c>
      <c r="I40" s="616">
        <f>+I41+I42</f>
        <v>4500</v>
      </c>
      <c r="J40" s="617"/>
      <c r="K40" s="616">
        <f>+K41+K42</f>
        <v>200000</v>
      </c>
      <c r="L40" s="616">
        <f>+L41+L42</f>
        <v>6000</v>
      </c>
      <c r="M40" s="618"/>
      <c r="N40" s="619"/>
      <c r="P40" s="589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  <c r="AC40" s="591"/>
    </row>
    <row r="41" spans="2:29" s="607" customFormat="1" ht="19.350000000000001" customHeight="1">
      <c r="B41" s="280"/>
      <c r="C41" s="702"/>
      <c r="D41" s="703" t="s">
        <v>650</v>
      </c>
      <c r="E41" s="461">
        <v>115529.3</v>
      </c>
      <c r="F41" s="461"/>
      <c r="G41" s="704"/>
      <c r="H41" s="461">
        <v>136.4</v>
      </c>
      <c r="I41" s="461"/>
      <c r="J41" s="704"/>
      <c r="K41" s="461"/>
      <c r="L41" s="461"/>
      <c r="M41" s="705"/>
      <c r="N41" s="281"/>
      <c r="P41" s="716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8"/>
    </row>
    <row r="42" spans="2:29" s="607" customFormat="1" ht="19.350000000000001" customHeight="1">
      <c r="B42" s="280"/>
      <c r="C42" s="719"/>
      <c r="D42" s="720" t="s">
        <v>651</v>
      </c>
      <c r="E42" s="721">
        <v>116819.42</v>
      </c>
      <c r="F42" s="721">
        <v>3504.58</v>
      </c>
      <c r="G42" s="722"/>
      <c r="H42" s="721">
        <v>150000</v>
      </c>
      <c r="I42" s="721">
        <f>+H42*0.03</f>
        <v>4500</v>
      </c>
      <c r="J42" s="722"/>
      <c r="K42" s="721">
        <v>200000</v>
      </c>
      <c r="L42" s="721">
        <f>+K42*0.03</f>
        <v>6000</v>
      </c>
      <c r="M42" s="723"/>
      <c r="N42" s="281"/>
      <c r="P42" s="716"/>
      <c r="Q42" s="717"/>
      <c r="R42" s="717"/>
      <c r="S42" s="717"/>
      <c r="T42" s="717"/>
      <c r="U42" s="717"/>
      <c r="V42" s="717"/>
      <c r="W42" s="717"/>
      <c r="X42" s="717"/>
      <c r="Y42" s="717"/>
      <c r="Z42" s="717"/>
      <c r="AA42" s="717"/>
      <c r="AB42" s="717"/>
      <c r="AC42" s="718"/>
    </row>
    <row r="43" spans="2:29" s="607" customFormat="1" ht="23.1" customHeight="1" thickBot="1">
      <c r="B43" s="280"/>
      <c r="C43" s="621" t="s">
        <v>652</v>
      </c>
      <c r="D43" s="622"/>
      <c r="E43" s="161">
        <f>E16+E19+E30</f>
        <v>232348.72</v>
      </c>
      <c r="F43" s="161">
        <f>F16+F19+F30</f>
        <v>3504.58</v>
      </c>
      <c r="G43" s="623"/>
      <c r="H43" s="161">
        <f>H16+H19+H30</f>
        <v>150136.4</v>
      </c>
      <c r="I43" s="161">
        <f>I16+I19+I30</f>
        <v>4500</v>
      </c>
      <c r="J43" s="623"/>
      <c r="K43" s="161">
        <f>K16+K19+K30</f>
        <v>200000</v>
      </c>
      <c r="L43" s="161">
        <f>L16+L19+L30</f>
        <v>6000</v>
      </c>
      <c r="M43" s="624"/>
      <c r="N43" s="174"/>
      <c r="P43" s="402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4"/>
    </row>
    <row r="44" spans="2:29" s="202" customFormat="1" ht="23.1" customHeight="1">
      <c r="B44" s="173"/>
      <c r="C44" s="294"/>
      <c r="D44" s="294"/>
      <c r="E44" s="205"/>
      <c r="F44" s="205"/>
      <c r="G44" s="205"/>
      <c r="H44" s="205"/>
      <c r="I44" s="205"/>
      <c r="J44" s="205"/>
      <c r="K44" s="205"/>
      <c r="L44" s="205"/>
      <c r="M44" s="205"/>
      <c r="N44" s="174"/>
      <c r="P44" s="402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4"/>
    </row>
    <row r="45" spans="2:29" s="598" customFormat="1" ht="23.1" customHeight="1">
      <c r="B45" s="105"/>
      <c r="C45" s="592"/>
      <c r="D45" s="593"/>
      <c r="E45" s="625" t="s">
        <v>178</v>
      </c>
      <c r="F45" s="625" t="s">
        <v>179</v>
      </c>
      <c r="G45" s="625" t="s">
        <v>180</v>
      </c>
      <c r="H45" s="1122" t="s">
        <v>575</v>
      </c>
      <c r="I45" s="1123"/>
      <c r="J45" s="1123"/>
      <c r="K45" s="1123"/>
      <c r="L45" s="1123"/>
      <c r="M45" s="1124"/>
      <c r="N45" s="174"/>
      <c r="P45" s="402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4"/>
    </row>
    <row r="46" spans="2:29" s="46" customFormat="1" ht="23.1" customHeight="1">
      <c r="B46" s="599"/>
      <c r="C46" s="600" t="s">
        <v>653</v>
      </c>
      <c r="D46" s="601"/>
      <c r="E46" s="626">
        <f>ejercicio-2</f>
        <v>2017</v>
      </c>
      <c r="F46" s="626">
        <f>ejercicio-1</f>
        <v>2018</v>
      </c>
      <c r="G46" s="626">
        <f>ejercicio</f>
        <v>2019</v>
      </c>
      <c r="H46" s="1125"/>
      <c r="I46" s="1126"/>
      <c r="J46" s="1126"/>
      <c r="K46" s="1126"/>
      <c r="L46" s="1126"/>
      <c r="M46" s="1127"/>
      <c r="N46" s="174"/>
      <c r="P46" s="402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4"/>
    </row>
    <row r="47" spans="2:29" s="202" customFormat="1" ht="23.1" customHeight="1" thickBot="1">
      <c r="B47" s="173"/>
      <c r="C47" s="621" t="s">
        <v>822</v>
      </c>
      <c r="D47" s="622"/>
      <c r="E47" s="161">
        <f>SUM(E48:E54)</f>
        <v>0</v>
      </c>
      <c r="F47" s="161">
        <f>SUM(F48:F54)</f>
        <v>263191.49</v>
      </c>
      <c r="G47" s="161">
        <f>SUM(G48:G54)</f>
        <v>0</v>
      </c>
      <c r="H47" s="627"/>
      <c r="I47" s="628"/>
      <c r="J47" s="628"/>
      <c r="K47" s="628"/>
      <c r="L47" s="628"/>
      <c r="M47" s="150"/>
      <c r="N47" s="174"/>
      <c r="P47" s="402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4"/>
    </row>
    <row r="48" spans="2:29" s="202" customFormat="1" ht="20.100000000000001" customHeight="1">
      <c r="B48" s="173"/>
      <c r="C48" s="1072" t="s">
        <v>1031</v>
      </c>
      <c r="D48" s="639"/>
      <c r="E48" s="640"/>
      <c r="F48" s="640">
        <v>6000</v>
      </c>
      <c r="G48" s="640"/>
      <c r="H48" s="1093" t="s">
        <v>1032</v>
      </c>
      <c r="I48" s="642"/>
      <c r="J48" s="642"/>
      <c r="K48" s="642"/>
      <c r="L48" s="642"/>
      <c r="M48" s="643"/>
      <c r="N48" s="174"/>
      <c r="P48" s="402"/>
      <c r="Q48" s="403"/>
      <c r="R48" s="403"/>
      <c r="S48" s="403"/>
      <c r="T48" s="403"/>
      <c r="U48" s="403"/>
      <c r="V48" s="403"/>
      <c r="W48" s="403"/>
      <c r="X48" s="403"/>
      <c r="Y48" s="403"/>
      <c r="Z48" s="403"/>
      <c r="AA48" s="403"/>
      <c r="AB48" s="403"/>
      <c r="AC48" s="404"/>
    </row>
    <row r="49" spans="2:29" s="202" customFormat="1" ht="20.100000000000001" customHeight="1">
      <c r="B49" s="173"/>
      <c r="C49" s="1076" t="s">
        <v>1058</v>
      </c>
      <c r="D49" s="541"/>
      <c r="E49" s="561"/>
      <c r="F49" s="561">
        <v>68787.38</v>
      </c>
      <c r="G49" s="561"/>
      <c r="H49" s="519"/>
      <c r="I49" s="644"/>
      <c r="J49" s="644"/>
      <c r="K49" s="644"/>
      <c r="L49" s="644"/>
      <c r="M49" s="479"/>
      <c r="N49" s="174"/>
      <c r="P49" s="402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4"/>
    </row>
    <row r="50" spans="2:29" s="202" customFormat="1" ht="20.100000000000001" customHeight="1">
      <c r="B50" s="173"/>
      <c r="C50" s="1076" t="s">
        <v>1068</v>
      </c>
      <c r="D50" s="541"/>
      <c r="E50" s="561"/>
      <c r="F50" s="561">
        <v>188404.11</v>
      </c>
      <c r="G50" s="561"/>
      <c r="H50" s="519"/>
      <c r="I50" s="644"/>
      <c r="J50" s="644"/>
      <c r="K50" s="644"/>
      <c r="L50" s="644"/>
      <c r="M50" s="479"/>
      <c r="N50" s="174"/>
      <c r="P50" s="402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4"/>
    </row>
    <row r="51" spans="2:29" s="202" customFormat="1" ht="20.100000000000001" customHeight="1">
      <c r="B51" s="173"/>
      <c r="C51" s="540"/>
      <c r="D51" s="541"/>
      <c r="E51" s="561"/>
      <c r="F51" s="561"/>
      <c r="G51" s="561"/>
      <c r="H51" s="519"/>
      <c r="I51" s="644"/>
      <c r="J51" s="644"/>
      <c r="K51" s="644"/>
      <c r="L51" s="644"/>
      <c r="M51" s="479"/>
      <c r="N51" s="174"/>
      <c r="P51" s="402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4"/>
    </row>
    <row r="52" spans="2:29" s="202" customFormat="1" ht="20.100000000000001" customHeight="1">
      <c r="B52" s="173"/>
      <c r="C52" s="540"/>
      <c r="D52" s="541"/>
      <c r="E52" s="561"/>
      <c r="F52" s="561"/>
      <c r="G52" s="561"/>
      <c r="H52" s="519"/>
      <c r="I52" s="644"/>
      <c r="J52" s="644"/>
      <c r="K52" s="644"/>
      <c r="L52" s="644"/>
      <c r="M52" s="479"/>
      <c r="N52" s="174"/>
      <c r="P52" s="402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4"/>
    </row>
    <row r="53" spans="2:29" s="202" customFormat="1" ht="20.100000000000001" customHeight="1">
      <c r="B53" s="173"/>
      <c r="C53" s="540"/>
      <c r="D53" s="541"/>
      <c r="E53" s="561"/>
      <c r="F53" s="561"/>
      <c r="G53" s="561"/>
      <c r="H53" s="519"/>
      <c r="I53" s="644"/>
      <c r="J53" s="644"/>
      <c r="K53" s="644"/>
      <c r="L53" s="644"/>
      <c r="M53" s="479"/>
      <c r="N53" s="174"/>
      <c r="P53" s="402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4"/>
    </row>
    <row r="54" spans="2:29" s="202" customFormat="1" ht="20.100000000000001" customHeight="1">
      <c r="B54" s="173"/>
      <c r="C54" s="542"/>
      <c r="D54" s="543"/>
      <c r="E54" s="562"/>
      <c r="F54" s="562"/>
      <c r="G54" s="562"/>
      <c r="H54" s="517"/>
      <c r="I54" s="511"/>
      <c r="J54" s="511"/>
      <c r="K54" s="511"/>
      <c r="L54" s="511"/>
      <c r="M54" s="518"/>
      <c r="N54" s="174"/>
      <c r="P54" s="402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4"/>
    </row>
    <row r="55" spans="2:29" s="202" customFormat="1" ht="23.1" customHeight="1" thickBot="1">
      <c r="B55" s="173"/>
      <c r="C55" s="621" t="s">
        <v>823</v>
      </c>
      <c r="D55" s="622"/>
      <c r="E55" s="161">
        <f>SUM(E56:E62)</f>
        <v>-68251.399999999994</v>
      </c>
      <c r="F55" s="161">
        <f>SUM(F56:F62)</f>
        <v>0</v>
      </c>
      <c r="G55" s="161">
        <f>SUM(G56:G62)</f>
        <v>0</v>
      </c>
      <c r="H55" s="627"/>
      <c r="I55" s="628"/>
      <c r="J55" s="628"/>
      <c r="K55" s="628"/>
      <c r="L55" s="628"/>
      <c r="M55" s="150"/>
      <c r="N55" s="174"/>
      <c r="P55" s="402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4"/>
    </row>
    <row r="56" spans="2:29" s="202" customFormat="1" ht="20.100000000000001" customHeight="1">
      <c r="B56" s="173"/>
      <c r="C56" s="1072" t="s">
        <v>1067</v>
      </c>
      <c r="D56" s="639"/>
      <c r="E56" s="640">
        <v>-68251.399999999994</v>
      </c>
      <c r="F56" s="640"/>
      <c r="G56" s="640"/>
      <c r="H56" s="641"/>
      <c r="I56" s="642"/>
      <c r="J56" s="642"/>
      <c r="K56" s="642"/>
      <c r="L56" s="642"/>
      <c r="M56" s="643"/>
      <c r="N56" s="174"/>
      <c r="P56" s="402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4"/>
    </row>
    <row r="57" spans="2:29" s="202" customFormat="1" ht="20.100000000000001" customHeight="1">
      <c r="B57" s="173"/>
      <c r="C57" s="540"/>
      <c r="D57" s="541"/>
      <c r="E57" s="561"/>
      <c r="F57" s="561"/>
      <c r="G57" s="561"/>
      <c r="H57" s="519"/>
      <c r="I57" s="644"/>
      <c r="J57" s="644"/>
      <c r="K57" s="644"/>
      <c r="L57" s="644"/>
      <c r="M57" s="479"/>
      <c r="N57" s="174"/>
      <c r="P57" s="402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4"/>
    </row>
    <row r="58" spans="2:29" s="202" customFormat="1" ht="20.100000000000001" customHeight="1">
      <c r="B58" s="173"/>
      <c r="C58" s="540"/>
      <c r="D58" s="541"/>
      <c r="E58" s="561"/>
      <c r="F58" s="561"/>
      <c r="G58" s="561"/>
      <c r="H58" s="519"/>
      <c r="I58" s="644"/>
      <c r="J58" s="644"/>
      <c r="K58" s="644"/>
      <c r="L58" s="644"/>
      <c r="M58" s="479"/>
      <c r="N58" s="174"/>
      <c r="P58" s="402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4"/>
    </row>
    <row r="59" spans="2:29" s="202" customFormat="1" ht="20.100000000000001" customHeight="1">
      <c r="B59" s="173"/>
      <c r="C59" s="540"/>
      <c r="D59" s="541"/>
      <c r="E59" s="561"/>
      <c r="F59" s="561"/>
      <c r="G59" s="561"/>
      <c r="H59" s="519"/>
      <c r="I59" s="644"/>
      <c r="J59" s="644"/>
      <c r="K59" s="644"/>
      <c r="L59" s="644"/>
      <c r="M59" s="479"/>
      <c r="N59" s="174"/>
      <c r="P59" s="402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4"/>
    </row>
    <row r="60" spans="2:29" s="202" customFormat="1" ht="20.100000000000001" customHeight="1">
      <c r="B60" s="173"/>
      <c r="C60" s="540"/>
      <c r="D60" s="541"/>
      <c r="E60" s="561"/>
      <c r="F60" s="561"/>
      <c r="G60" s="561"/>
      <c r="H60" s="519"/>
      <c r="I60" s="644"/>
      <c r="J60" s="644"/>
      <c r="K60" s="644"/>
      <c r="L60" s="644"/>
      <c r="M60" s="479"/>
      <c r="N60" s="174"/>
      <c r="P60" s="402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4"/>
    </row>
    <row r="61" spans="2:29" s="202" customFormat="1" ht="20.100000000000001" customHeight="1">
      <c r="B61" s="173"/>
      <c r="C61" s="540"/>
      <c r="D61" s="541"/>
      <c r="E61" s="561"/>
      <c r="F61" s="561"/>
      <c r="G61" s="561"/>
      <c r="H61" s="519"/>
      <c r="I61" s="644"/>
      <c r="J61" s="644"/>
      <c r="K61" s="644"/>
      <c r="L61" s="644"/>
      <c r="M61" s="479"/>
      <c r="N61" s="174"/>
      <c r="P61" s="402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4"/>
    </row>
    <row r="62" spans="2:29" s="202" customFormat="1" ht="20.100000000000001" customHeight="1">
      <c r="B62" s="173"/>
      <c r="C62" s="542"/>
      <c r="D62" s="543"/>
      <c r="E62" s="562"/>
      <c r="F62" s="562"/>
      <c r="G62" s="562"/>
      <c r="H62" s="517"/>
      <c r="I62" s="511"/>
      <c r="J62" s="511"/>
      <c r="K62" s="511"/>
      <c r="L62" s="511"/>
      <c r="M62" s="518"/>
      <c r="N62" s="174"/>
      <c r="P62" s="402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4"/>
    </row>
    <row r="63" spans="2:29" s="202" customFormat="1" ht="23.1" customHeight="1">
      <c r="B63" s="173"/>
      <c r="C63" s="294"/>
      <c r="D63" s="294"/>
      <c r="E63" s="205"/>
      <c r="F63" s="205"/>
      <c r="G63" s="205"/>
      <c r="H63" s="205"/>
      <c r="I63" s="205"/>
      <c r="J63" s="205"/>
      <c r="K63" s="205"/>
      <c r="L63" s="205"/>
      <c r="M63" s="205"/>
      <c r="N63" s="174"/>
      <c r="P63" s="402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4"/>
    </row>
    <row r="64" spans="2:29" s="202" customFormat="1" ht="23.1" customHeight="1">
      <c r="B64" s="173"/>
      <c r="C64" s="592"/>
      <c r="D64" s="593"/>
      <c r="E64" s="625" t="s">
        <v>178</v>
      </c>
      <c r="F64" s="625" t="s">
        <v>179</v>
      </c>
      <c r="G64" s="625" t="s">
        <v>180</v>
      </c>
      <c r="H64" s="1122" t="s">
        <v>575</v>
      </c>
      <c r="I64" s="1123"/>
      <c r="J64" s="1123"/>
      <c r="K64" s="1123"/>
      <c r="L64" s="1123"/>
      <c r="M64" s="1124"/>
      <c r="N64" s="174"/>
      <c r="P64" s="402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4"/>
    </row>
    <row r="65" spans="2:29" s="202" customFormat="1" ht="23.1" customHeight="1">
      <c r="B65" s="173"/>
      <c r="C65" s="600" t="s">
        <v>654</v>
      </c>
      <c r="D65" s="601"/>
      <c r="E65" s="626">
        <f>ejercicio-2</f>
        <v>2017</v>
      </c>
      <c r="F65" s="626">
        <f>ejercicio-1</f>
        <v>2018</v>
      </c>
      <c r="G65" s="626">
        <f>ejercicio</f>
        <v>2019</v>
      </c>
      <c r="H65" s="1125"/>
      <c r="I65" s="1126"/>
      <c r="J65" s="1126"/>
      <c r="K65" s="1126"/>
      <c r="L65" s="1126"/>
      <c r="M65" s="1127"/>
      <c r="N65" s="174"/>
      <c r="P65" s="402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4"/>
    </row>
    <row r="66" spans="2:29" s="202" customFormat="1" ht="23.1" customHeight="1">
      <c r="B66" s="173"/>
      <c r="C66" s="608" t="s">
        <v>655</v>
      </c>
      <c r="D66" s="609"/>
      <c r="E66" s="491">
        <v>5506.95</v>
      </c>
      <c r="F66" s="491"/>
      <c r="G66" s="724"/>
      <c r="H66" s="645"/>
      <c r="I66" s="646"/>
      <c r="J66" s="646"/>
      <c r="K66" s="646"/>
      <c r="L66" s="646"/>
      <c r="M66" s="492"/>
      <c r="N66" s="174"/>
      <c r="P66" s="402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4"/>
    </row>
    <row r="67" spans="2:29" s="202" customFormat="1" ht="23.1" customHeight="1">
      <c r="B67" s="173"/>
      <c r="C67" s="610" t="s">
        <v>656</v>
      </c>
      <c r="D67" s="611"/>
      <c r="E67" s="496"/>
      <c r="F67" s="496"/>
      <c r="G67" s="562"/>
      <c r="H67" s="517"/>
      <c r="I67" s="511"/>
      <c r="J67" s="511"/>
      <c r="K67" s="511"/>
      <c r="L67" s="511"/>
      <c r="M67" s="518"/>
      <c r="N67" s="174"/>
      <c r="P67" s="402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4"/>
    </row>
    <row r="68" spans="2:29" s="202" customFormat="1" ht="23.1" customHeight="1">
      <c r="B68" s="173"/>
      <c r="C68" s="294"/>
      <c r="D68" s="294"/>
      <c r="E68" s="205"/>
      <c r="F68" s="205"/>
      <c r="G68" s="205"/>
      <c r="H68" s="205"/>
      <c r="I68" s="205"/>
      <c r="J68" s="205"/>
      <c r="K68" s="205"/>
      <c r="L68" s="205"/>
      <c r="M68" s="205"/>
      <c r="N68" s="174"/>
      <c r="P68" s="402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4"/>
    </row>
    <row r="69" spans="2:29" s="202" customFormat="1" ht="23.1" customHeight="1">
      <c r="B69" s="173"/>
      <c r="C69" s="592"/>
      <c r="D69" s="593"/>
      <c r="E69" s="625" t="s">
        <v>178</v>
      </c>
      <c r="F69" s="625" t="s">
        <v>179</v>
      </c>
      <c r="G69" s="625" t="s">
        <v>180</v>
      </c>
      <c r="H69" s="1122" t="s">
        <v>575</v>
      </c>
      <c r="I69" s="1123"/>
      <c r="J69" s="1123"/>
      <c r="K69" s="1123"/>
      <c r="L69" s="1123"/>
      <c r="M69" s="1124"/>
      <c r="N69" s="174"/>
      <c r="P69" s="402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4"/>
    </row>
    <row r="70" spans="2:29" s="202" customFormat="1" ht="23.1" customHeight="1">
      <c r="B70" s="173"/>
      <c r="C70" s="600" t="s">
        <v>691</v>
      </c>
      <c r="D70" s="601"/>
      <c r="E70" s="626">
        <f>ejercicio-2</f>
        <v>2017</v>
      </c>
      <c r="F70" s="626">
        <f>ejercicio-1</f>
        <v>2018</v>
      </c>
      <c r="G70" s="626">
        <f>ejercicio</f>
        <v>2019</v>
      </c>
      <c r="H70" s="1125"/>
      <c r="I70" s="1126"/>
      <c r="J70" s="1126"/>
      <c r="K70" s="1126"/>
      <c r="L70" s="1126"/>
      <c r="M70" s="1127"/>
      <c r="N70" s="174"/>
      <c r="P70" s="402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4"/>
    </row>
    <row r="71" spans="2:29" s="202" customFormat="1" ht="23.1" customHeight="1">
      <c r="B71" s="173"/>
      <c r="C71" s="603" t="s">
        <v>692</v>
      </c>
      <c r="D71" s="604"/>
      <c r="E71" s="178">
        <f>SUM(E72:E74)</f>
        <v>157662.94</v>
      </c>
      <c r="F71" s="178">
        <f>SUM(F72:F74)</f>
        <v>120000</v>
      </c>
      <c r="G71" s="178">
        <f>SUM(G72:G74)</f>
        <v>215260</v>
      </c>
      <c r="H71" s="629"/>
      <c r="I71" s="630"/>
      <c r="J71" s="630"/>
      <c r="K71" s="630"/>
      <c r="L71" s="630"/>
      <c r="M71" s="631"/>
      <c r="N71" s="174"/>
      <c r="P71" s="402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4"/>
    </row>
    <row r="72" spans="2:29" s="202" customFormat="1" ht="23.1" customHeight="1">
      <c r="B72" s="173"/>
      <c r="C72" s="632" t="s">
        <v>693</v>
      </c>
      <c r="D72" s="633"/>
      <c r="E72" s="493"/>
      <c r="F72" s="493"/>
      <c r="G72" s="493"/>
      <c r="H72" s="515"/>
      <c r="I72" s="510"/>
      <c r="J72" s="510"/>
      <c r="K72" s="510"/>
      <c r="L72" s="510"/>
      <c r="M72" s="516"/>
      <c r="N72" s="174"/>
      <c r="P72" s="402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4"/>
    </row>
    <row r="73" spans="2:29" s="202" customFormat="1" ht="23.1" customHeight="1">
      <c r="B73" s="173"/>
      <c r="C73" s="634" t="s">
        <v>694</v>
      </c>
      <c r="D73" s="612"/>
      <c r="E73" s="494">
        <v>157662.94</v>
      </c>
      <c r="F73" s="494">
        <v>120000</v>
      </c>
      <c r="G73" s="494">
        <v>215260</v>
      </c>
      <c r="H73" s="519"/>
      <c r="I73" s="644"/>
      <c r="J73" s="644"/>
      <c r="K73" s="644"/>
      <c r="L73" s="644"/>
      <c r="M73" s="479"/>
      <c r="N73" s="174"/>
      <c r="P73" s="402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4"/>
    </row>
    <row r="74" spans="2:29" s="202" customFormat="1" ht="23.1" customHeight="1">
      <c r="B74" s="173"/>
      <c r="C74" s="635" t="s">
        <v>695</v>
      </c>
      <c r="D74" s="636"/>
      <c r="E74" s="495"/>
      <c r="F74" s="495"/>
      <c r="G74" s="495"/>
      <c r="H74" s="647"/>
      <c r="I74" s="648"/>
      <c r="J74" s="648"/>
      <c r="K74" s="648"/>
      <c r="L74" s="648"/>
      <c r="M74" s="480"/>
      <c r="N74" s="174"/>
      <c r="P74" s="402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4"/>
    </row>
    <row r="75" spans="2:29" s="607" customFormat="1" ht="23.1" customHeight="1">
      <c r="B75" s="280"/>
      <c r="C75" s="603" t="s">
        <v>701</v>
      </c>
      <c r="D75" s="604"/>
      <c r="E75" s="178">
        <f>SUM(E76:E81)</f>
        <v>1723333.9</v>
      </c>
      <c r="F75" s="178">
        <f>SUM(F76:F81)</f>
        <v>1868193.39</v>
      </c>
      <c r="G75" s="178">
        <f>SUM(G76:G81)</f>
        <v>1824883.75</v>
      </c>
      <c r="H75" s="629"/>
      <c r="I75" s="630"/>
      <c r="J75" s="630"/>
      <c r="K75" s="630"/>
      <c r="L75" s="630"/>
      <c r="M75" s="631"/>
      <c r="N75" s="281"/>
      <c r="P75" s="402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4"/>
    </row>
    <row r="76" spans="2:29" s="202" customFormat="1" ht="23.1" customHeight="1">
      <c r="B76" s="173"/>
      <c r="C76" s="632" t="s">
        <v>696</v>
      </c>
      <c r="D76" s="633"/>
      <c r="E76" s="559"/>
      <c r="F76" s="559"/>
      <c r="G76" s="559"/>
      <c r="H76" s="515"/>
      <c r="I76" s="510"/>
      <c r="J76" s="510"/>
      <c r="K76" s="510"/>
      <c r="L76" s="510"/>
      <c r="M76" s="516"/>
      <c r="N76" s="174"/>
      <c r="P76" s="402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4"/>
    </row>
    <row r="77" spans="2:29" s="202" customFormat="1" ht="23.1" customHeight="1">
      <c r="B77" s="173"/>
      <c r="C77" s="634" t="s">
        <v>697</v>
      </c>
      <c r="D77" s="612"/>
      <c r="E77" s="561"/>
      <c r="F77" s="561"/>
      <c r="G77" s="561"/>
      <c r="H77" s="519"/>
      <c r="I77" s="644"/>
      <c r="J77" s="644"/>
      <c r="K77" s="644"/>
      <c r="L77" s="644"/>
      <c r="M77" s="479"/>
      <c r="N77" s="174"/>
      <c r="P77" s="402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4"/>
    </row>
    <row r="78" spans="2:29" s="202" customFormat="1" ht="23.1" customHeight="1">
      <c r="B78" s="173"/>
      <c r="C78" s="634" t="s">
        <v>698</v>
      </c>
      <c r="D78" s="612"/>
      <c r="E78" s="561">
        <v>0</v>
      </c>
      <c r="F78" s="561"/>
      <c r="G78" s="561"/>
      <c r="H78" s="519"/>
      <c r="I78" s="644"/>
      <c r="J78" s="644"/>
      <c r="K78" s="644"/>
      <c r="L78" s="644"/>
      <c r="M78" s="479"/>
      <c r="N78" s="174"/>
      <c r="P78" s="402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3"/>
      <c r="AC78" s="404"/>
    </row>
    <row r="79" spans="2:29" s="202" customFormat="1" ht="23.1" customHeight="1">
      <c r="B79" s="173"/>
      <c r="C79" s="634" t="s">
        <v>699</v>
      </c>
      <c r="D79" s="612"/>
      <c r="E79" s="561">
        <f>1563333.9+160000</f>
        <v>1723333.9</v>
      </c>
      <c r="F79" s="561">
        <v>1866884.75</v>
      </c>
      <c r="G79" s="561">
        <v>1824883.75</v>
      </c>
      <c r="H79" s="519"/>
      <c r="I79" s="644"/>
      <c r="J79" s="644"/>
      <c r="K79" s="644"/>
      <c r="L79" s="644"/>
      <c r="M79" s="479"/>
      <c r="N79" s="174"/>
      <c r="P79" s="402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4"/>
    </row>
    <row r="80" spans="2:29" s="202" customFormat="1" ht="23.1" customHeight="1">
      <c r="B80" s="173"/>
      <c r="C80" s="637" t="s">
        <v>718</v>
      </c>
      <c r="D80" s="612"/>
      <c r="E80" s="561"/>
      <c r="F80" s="561">
        <v>1308.6400000000001</v>
      </c>
      <c r="G80" s="561"/>
      <c r="H80" s="519"/>
      <c r="I80" s="644"/>
      <c r="J80" s="644"/>
      <c r="K80" s="644"/>
      <c r="L80" s="644"/>
      <c r="M80" s="479"/>
      <c r="N80" s="174"/>
      <c r="P80" s="402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4"/>
    </row>
    <row r="81" spans="2:29" s="202" customFormat="1" ht="23.1" customHeight="1">
      <c r="B81" s="173"/>
      <c r="C81" s="610" t="s">
        <v>700</v>
      </c>
      <c r="D81" s="611"/>
      <c r="E81" s="562"/>
      <c r="F81" s="562"/>
      <c r="G81" s="562"/>
      <c r="H81" s="517"/>
      <c r="I81" s="511"/>
      <c r="J81" s="511"/>
      <c r="K81" s="511"/>
      <c r="L81" s="511"/>
      <c r="M81" s="518"/>
      <c r="N81" s="174"/>
      <c r="P81" s="402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4"/>
    </row>
    <row r="82" spans="2:29" s="202" customFormat="1" ht="23.1" customHeight="1">
      <c r="B82" s="173"/>
      <c r="C82" s="294"/>
      <c r="D82" s="294"/>
      <c r="E82" s="205"/>
      <c r="F82" s="205"/>
      <c r="G82" s="205"/>
      <c r="H82" s="205"/>
      <c r="I82" s="205"/>
      <c r="J82" s="205"/>
      <c r="K82" s="205"/>
      <c r="L82" s="205"/>
      <c r="M82" s="205"/>
      <c r="N82" s="174"/>
      <c r="P82" s="402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4"/>
    </row>
    <row r="83" spans="2:29" s="202" customFormat="1" ht="23.1" customHeight="1">
      <c r="B83" s="173"/>
      <c r="C83" s="1131" t="s">
        <v>735</v>
      </c>
      <c r="D83" s="1132"/>
      <c r="E83" s="1133"/>
      <c r="F83" s="685" t="s">
        <v>416</v>
      </c>
      <c r="G83" s="625" t="s">
        <v>180</v>
      </c>
      <c r="H83" s="1129" t="s">
        <v>575</v>
      </c>
      <c r="I83" s="1129"/>
      <c r="J83" s="1129"/>
      <c r="K83" s="1129"/>
      <c r="L83" s="1129"/>
      <c r="M83" s="1129"/>
      <c r="N83" s="174"/>
      <c r="P83" s="402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3"/>
      <c r="AC83" s="404"/>
    </row>
    <row r="84" spans="2:29" s="202" customFormat="1" ht="43.35" customHeight="1">
      <c r="B84" s="173"/>
      <c r="C84" s="1134"/>
      <c r="D84" s="1135"/>
      <c r="E84" s="1136"/>
      <c r="F84" s="686" t="s">
        <v>736</v>
      </c>
      <c r="G84" s="626">
        <f>ejercicio</f>
        <v>2019</v>
      </c>
      <c r="H84" s="1130"/>
      <c r="I84" s="1130"/>
      <c r="J84" s="1130"/>
      <c r="K84" s="1130"/>
      <c r="L84" s="1130"/>
      <c r="M84" s="1130"/>
      <c r="N84" s="174"/>
      <c r="P84" s="402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4"/>
    </row>
    <row r="85" spans="2:29" s="202" customFormat="1" ht="23.1" customHeight="1" thickBot="1">
      <c r="B85" s="173"/>
      <c r="C85" s="621" t="s">
        <v>740</v>
      </c>
      <c r="D85" s="690"/>
      <c r="E85" s="166"/>
      <c r="F85" s="161"/>
      <c r="G85" s="161">
        <f>SUM(G86:G88)</f>
        <v>0</v>
      </c>
      <c r="H85" s="627"/>
      <c r="I85" s="628"/>
      <c r="J85" s="628"/>
      <c r="K85" s="628"/>
      <c r="L85" s="628"/>
      <c r="M85" s="150"/>
      <c r="N85" s="174"/>
      <c r="P85" s="402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4"/>
    </row>
    <row r="86" spans="2:29" s="202" customFormat="1" ht="23.1" customHeight="1">
      <c r="B86" s="173"/>
      <c r="C86" s="1137" t="s">
        <v>737</v>
      </c>
      <c r="D86" s="1138"/>
      <c r="E86" s="1139"/>
      <c r="F86" s="725"/>
      <c r="G86" s="493"/>
      <c r="H86" s="691"/>
      <c r="I86" s="510"/>
      <c r="J86" s="510"/>
      <c r="K86" s="510"/>
      <c r="L86" s="510"/>
      <c r="M86" s="516"/>
      <c r="N86" s="174"/>
      <c r="P86" s="402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4"/>
    </row>
    <row r="87" spans="2:29" s="202" customFormat="1" ht="23.1" customHeight="1">
      <c r="B87" s="173"/>
      <c r="C87" s="687" t="s">
        <v>738</v>
      </c>
      <c r="D87" s="688"/>
      <c r="E87" s="689"/>
      <c r="F87" s="725"/>
      <c r="G87" s="493"/>
      <c r="H87" s="515"/>
      <c r="I87" s="510"/>
      <c r="J87" s="510"/>
      <c r="K87" s="510"/>
      <c r="L87" s="510"/>
      <c r="M87" s="516"/>
      <c r="N87" s="174"/>
      <c r="P87" s="402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4"/>
    </row>
    <row r="88" spans="2:29" s="202" customFormat="1" ht="23.1" customHeight="1">
      <c r="B88" s="173"/>
      <c r="C88" s="1140" t="s">
        <v>739</v>
      </c>
      <c r="D88" s="1141"/>
      <c r="E88" s="1142"/>
      <c r="F88" s="726"/>
      <c r="G88" s="494"/>
      <c r="H88" s="519"/>
      <c r="I88" s="644"/>
      <c r="J88" s="644"/>
      <c r="K88" s="644"/>
      <c r="L88" s="644"/>
      <c r="M88" s="479"/>
      <c r="N88" s="174"/>
      <c r="P88" s="402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4"/>
    </row>
    <row r="89" spans="2:29" s="202" customFormat="1" ht="23.1" customHeight="1">
      <c r="B89" s="173"/>
      <c r="C89" s="679"/>
      <c r="D89" s="294"/>
      <c r="E89" s="680"/>
      <c r="F89" s="680"/>
      <c r="G89" s="680"/>
      <c r="H89" s="681"/>
      <c r="I89" s="681"/>
      <c r="J89" s="681"/>
      <c r="K89" s="681"/>
      <c r="L89" s="681"/>
      <c r="M89" s="681"/>
      <c r="N89" s="174"/>
      <c r="P89" s="402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4"/>
    </row>
    <row r="90" spans="2:29" s="202" customFormat="1" ht="23.1" customHeight="1">
      <c r="B90" s="173"/>
      <c r="C90" s="682" t="s">
        <v>409</v>
      </c>
      <c r="D90" s="683"/>
      <c r="E90" s="205"/>
      <c r="F90" s="205"/>
      <c r="G90" s="205"/>
      <c r="H90" s="205"/>
      <c r="I90" s="205"/>
      <c r="J90" s="205"/>
      <c r="K90" s="205"/>
      <c r="L90" s="205"/>
      <c r="M90" s="205"/>
      <c r="N90" s="174"/>
      <c r="P90" s="402"/>
      <c r="Q90" s="403"/>
      <c r="R90" s="403"/>
      <c r="S90" s="403"/>
      <c r="T90" s="403"/>
      <c r="U90" s="403"/>
      <c r="V90" s="403"/>
      <c r="W90" s="403"/>
      <c r="X90" s="403"/>
      <c r="Y90" s="403"/>
      <c r="Z90" s="403"/>
      <c r="AA90" s="403"/>
      <c r="AB90" s="403"/>
      <c r="AC90" s="404"/>
    </row>
    <row r="91" spans="2:29" s="202" customFormat="1" ht="23.1" customHeight="1">
      <c r="B91" s="173"/>
      <c r="C91" s="683" t="s">
        <v>918</v>
      </c>
      <c r="D91" s="683"/>
      <c r="E91" s="156"/>
      <c r="F91" s="156"/>
      <c r="G91" s="156"/>
      <c r="H91" s="156"/>
      <c r="I91" s="156"/>
      <c r="J91" s="156"/>
      <c r="K91" s="156"/>
      <c r="L91" s="156"/>
      <c r="M91" s="156"/>
      <c r="N91" s="174"/>
      <c r="P91" s="402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4"/>
    </row>
    <row r="92" spans="2:29" s="202" customFormat="1" ht="23.1" customHeight="1">
      <c r="B92" s="173"/>
      <c r="C92" s="684" t="s">
        <v>658</v>
      </c>
      <c r="D92" s="683"/>
      <c r="E92" s="156"/>
      <c r="F92" s="156"/>
      <c r="G92" s="156"/>
      <c r="H92" s="156"/>
      <c r="I92" s="156"/>
      <c r="J92" s="156"/>
      <c r="K92" s="156"/>
      <c r="L92" s="156"/>
      <c r="M92" s="156"/>
      <c r="N92" s="174"/>
      <c r="P92" s="402"/>
      <c r="Q92" s="403"/>
      <c r="R92" s="403"/>
      <c r="S92" s="403"/>
      <c r="T92" s="403"/>
      <c r="U92" s="403"/>
      <c r="V92" s="403"/>
      <c r="W92" s="403"/>
      <c r="X92" s="403"/>
      <c r="Y92" s="403"/>
      <c r="Z92" s="403"/>
      <c r="AA92" s="403"/>
      <c r="AB92" s="403"/>
      <c r="AC92" s="404"/>
    </row>
    <row r="93" spans="2:29" s="202" customFormat="1" ht="23.1" customHeight="1">
      <c r="B93" s="173"/>
      <c r="C93" s="684" t="s">
        <v>780</v>
      </c>
      <c r="D93" s="683"/>
      <c r="E93" s="156"/>
      <c r="F93" s="156"/>
      <c r="G93" s="156"/>
      <c r="H93" s="156"/>
      <c r="I93" s="156"/>
      <c r="J93" s="156"/>
      <c r="K93" s="156"/>
      <c r="L93" s="156"/>
      <c r="M93" s="156"/>
      <c r="N93" s="174"/>
      <c r="P93" s="402"/>
      <c r="Q93" s="403"/>
      <c r="R93" s="403"/>
      <c r="S93" s="403"/>
      <c r="T93" s="403"/>
      <c r="U93" s="403"/>
      <c r="V93" s="403"/>
      <c r="W93" s="403"/>
      <c r="X93" s="403"/>
      <c r="Y93" s="403"/>
      <c r="Z93" s="403"/>
      <c r="AA93" s="403"/>
      <c r="AB93" s="403"/>
      <c r="AC93" s="404"/>
    </row>
    <row r="94" spans="2:29" ht="23.1" customHeight="1" thickBot="1">
      <c r="B94" s="108"/>
      <c r="C94" s="1116"/>
      <c r="D94" s="1116"/>
      <c r="E94" s="1116"/>
      <c r="F94" s="1116"/>
      <c r="G94" s="48"/>
      <c r="H94" s="48"/>
      <c r="I94" s="48"/>
      <c r="J94" s="48"/>
      <c r="K94" s="48"/>
      <c r="L94" s="48"/>
      <c r="M94" s="48"/>
      <c r="N94" s="110"/>
      <c r="P94" s="405"/>
      <c r="Q94" s="406"/>
      <c r="R94" s="406"/>
      <c r="S94" s="406"/>
      <c r="T94" s="406"/>
      <c r="U94" s="406"/>
      <c r="V94" s="406"/>
      <c r="W94" s="406"/>
      <c r="X94" s="406"/>
      <c r="Y94" s="406"/>
      <c r="Z94" s="406"/>
      <c r="AA94" s="406"/>
      <c r="AB94" s="406"/>
      <c r="AC94" s="407"/>
    </row>
    <row r="95" spans="2:29" ht="23.1" customHeight="1">
      <c r="O95" s="88" t="s">
        <v>951</v>
      </c>
    </row>
    <row r="96" spans="2:29" ht="12.75">
      <c r="C96" s="111" t="s">
        <v>72</v>
      </c>
      <c r="M96" s="37" t="s">
        <v>47</v>
      </c>
    </row>
    <row r="97" spans="3:3" ht="12.75">
      <c r="C97" s="111" t="s">
        <v>73</v>
      </c>
    </row>
    <row r="98" spans="3:3" ht="12.75">
      <c r="C98" s="111" t="s">
        <v>74</v>
      </c>
    </row>
    <row r="99" spans="3:3" ht="12.75">
      <c r="C99" s="111" t="s">
        <v>75</v>
      </c>
    </row>
    <row r="100" spans="3:3" ht="12.75">
      <c r="C100" s="111" t="s">
        <v>76</v>
      </c>
    </row>
  </sheetData>
  <sheetProtection password="C494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23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W102"/>
  <sheetViews>
    <sheetView topLeftCell="A25" workbookViewId="0">
      <selection activeCell="G29" sqref="G29"/>
    </sheetView>
  </sheetViews>
  <sheetFormatPr baseColWidth="10" defaultColWidth="10.6640625" defaultRowHeight="23.1" customHeight="1"/>
  <cols>
    <col min="1" max="1" width="4.33203125" style="38" bestFit="1" customWidth="1"/>
    <col min="2" max="2" width="3.33203125" style="38" customWidth="1"/>
    <col min="3" max="3" width="13.5546875" style="38" customWidth="1"/>
    <col min="4" max="4" width="76.6640625" style="38" customWidth="1"/>
    <col min="5" max="7" width="18.33203125" style="38" customWidth="1"/>
    <col min="8" max="8" width="3.33203125" style="38" customWidth="1"/>
    <col min="9" max="16384" width="10.6640625" style="38"/>
  </cols>
  <sheetData>
    <row r="2" spans="1:23" ht="23.1" customHeight="1">
      <c r="D2" s="57" t="s">
        <v>31</v>
      </c>
    </row>
    <row r="3" spans="1:23" ht="23.1" customHeight="1">
      <c r="D3" s="57" t="s">
        <v>32</v>
      </c>
    </row>
    <row r="4" spans="1:23" ht="23.1" customHeight="1" thickBot="1">
      <c r="A4" s="38" t="s">
        <v>950</v>
      </c>
    </row>
    <row r="5" spans="1:23" ht="9" customHeight="1">
      <c r="B5" s="40"/>
      <c r="C5" s="41"/>
      <c r="D5" s="41"/>
      <c r="E5" s="41"/>
      <c r="F5" s="41"/>
      <c r="G5" s="41"/>
      <c r="H5" s="42"/>
      <c r="J5" s="386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8"/>
    </row>
    <row r="6" spans="1:23" ht="30" customHeight="1">
      <c r="B6" s="43"/>
      <c r="C6" s="1" t="s">
        <v>0</v>
      </c>
      <c r="G6" s="1110">
        <f>ejercicio</f>
        <v>2019</v>
      </c>
      <c r="H6" s="45"/>
      <c r="J6" s="389"/>
      <c r="K6" s="390" t="s">
        <v>689</v>
      </c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2"/>
    </row>
    <row r="7" spans="1:23" ht="30" customHeight="1">
      <c r="B7" s="43"/>
      <c r="C7" s="1" t="s">
        <v>1</v>
      </c>
      <c r="G7" s="1110"/>
      <c r="H7" s="45"/>
      <c r="J7" s="389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2"/>
    </row>
    <row r="8" spans="1:23" ht="30" customHeight="1">
      <c r="B8" s="43"/>
      <c r="C8" s="44"/>
      <c r="G8" s="46"/>
      <c r="H8" s="45"/>
      <c r="J8" s="389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2"/>
    </row>
    <row r="9" spans="1:23" s="53" customFormat="1" ht="30" customHeight="1">
      <c r="B9" s="51"/>
      <c r="C9" s="35" t="s">
        <v>2</v>
      </c>
      <c r="D9" s="1117" t="str">
        <f>Entidad</f>
        <v>TEA TENERIFE ESPACIO DE LAS ARTES</v>
      </c>
      <c r="E9" s="1117"/>
      <c r="F9" s="1117"/>
      <c r="G9" s="1117"/>
      <c r="H9" s="52"/>
      <c r="J9" s="393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5"/>
    </row>
    <row r="10" spans="1:23" ht="7.35" customHeight="1">
      <c r="B10" s="43"/>
      <c r="H10" s="45"/>
      <c r="J10" s="389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2"/>
    </row>
    <row r="11" spans="1:23" s="55" customFormat="1" ht="30" customHeight="1">
      <c r="B11" s="21"/>
      <c r="C11" s="10" t="s">
        <v>249</v>
      </c>
      <c r="D11" s="10"/>
      <c r="E11" s="10"/>
      <c r="F11" s="10"/>
      <c r="G11" s="10"/>
      <c r="H11" s="54"/>
      <c r="J11" s="396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8"/>
    </row>
    <row r="12" spans="1:23" s="55" customFormat="1" ht="30" customHeight="1">
      <c r="B12" s="21"/>
      <c r="H12" s="54"/>
      <c r="J12" s="396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8"/>
    </row>
    <row r="13" spans="1:23" ht="23.1" customHeight="1">
      <c r="B13" s="43"/>
      <c r="C13" s="313"/>
      <c r="D13" s="314"/>
      <c r="E13" s="315" t="s">
        <v>178</v>
      </c>
      <c r="F13" s="316" t="s">
        <v>179</v>
      </c>
      <c r="G13" s="317" t="s">
        <v>180</v>
      </c>
      <c r="H13" s="45"/>
      <c r="J13" s="389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2"/>
    </row>
    <row r="14" spans="1:23" ht="23.1" customHeight="1">
      <c r="B14" s="43"/>
      <c r="C14" s="318" t="s">
        <v>245</v>
      </c>
      <c r="D14" s="60"/>
      <c r="E14" s="299">
        <f>ejercicio-2</f>
        <v>2017</v>
      </c>
      <c r="F14" s="306">
        <f>ejercicio-1</f>
        <v>2018</v>
      </c>
      <c r="G14" s="298">
        <f>ejercicio</f>
        <v>2019</v>
      </c>
      <c r="H14" s="45"/>
      <c r="J14" s="389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2"/>
    </row>
    <row r="15" spans="1:23" ht="23.1" customHeight="1">
      <c r="B15" s="43"/>
      <c r="C15" s="319"/>
      <c r="D15" s="78"/>
      <c r="E15" s="300"/>
      <c r="F15" s="307"/>
      <c r="G15" s="320"/>
      <c r="H15" s="45"/>
      <c r="J15" s="389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2"/>
    </row>
    <row r="16" spans="1:23" ht="23.1" customHeight="1">
      <c r="B16" s="43"/>
      <c r="C16" s="321" t="s">
        <v>182</v>
      </c>
      <c r="D16" s="76" t="s">
        <v>183</v>
      </c>
      <c r="E16" s="301">
        <f>E17+E26+E30+E33+E40+E47+E48</f>
        <v>1133521.0599999998</v>
      </c>
      <c r="F16" s="308">
        <f>F17+F26+F30+F33+F40+F47+F48</f>
        <v>1297567.98</v>
      </c>
      <c r="G16" s="322">
        <f>G17+G26+G30+G33+G40+G47+G48</f>
        <v>1458967.98</v>
      </c>
      <c r="H16" s="45"/>
      <c r="J16" s="389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2"/>
    </row>
    <row r="17" spans="2:23" ht="23.1" customHeight="1">
      <c r="B17" s="43"/>
      <c r="C17" s="323" t="s">
        <v>184</v>
      </c>
      <c r="D17" s="62" t="s">
        <v>185</v>
      </c>
      <c r="E17" s="302">
        <f>SUM(E18:E25)</f>
        <v>1000</v>
      </c>
      <c r="F17" s="309">
        <f>SUM(F18:F25)</f>
        <v>1000</v>
      </c>
      <c r="G17" s="324">
        <f>SUM(G18:G25)</f>
        <v>1000</v>
      </c>
      <c r="H17" s="45"/>
      <c r="J17" s="389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2"/>
    </row>
    <row r="18" spans="2:23" ht="23.1" customHeight="1">
      <c r="B18" s="43"/>
      <c r="C18" s="325" t="s">
        <v>83</v>
      </c>
      <c r="D18" s="63" t="s">
        <v>186</v>
      </c>
      <c r="E18" s="434"/>
      <c r="F18" s="435"/>
      <c r="G18" s="436"/>
      <c r="H18" s="45"/>
      <c r="J18" s="389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2"/>
    </row>
    <row r="19" spans="2:23" ht="23.1" customHeight="1">
      <c r="B19" s="43"/>
      <c r="C19" s="326" t="s">
        <v>90</v>
      </c>
      <c r="D19" s="64" t="s">
        <v>187</v>
      </c>
      <c r="E19" s="437"/>
      <c r="F19" s="438"/>
      <c r="G19" s="439"/>
      <c r="H19" s="45"/>
      <c r="J19" s="389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2"/>
    </row>
    <row r="20" spans="2:23" ht="23.1" customHeight="1">
      <c r="B20" s="43"/>
      <c r="C20" s="326" t="s">
        <v>92</v>
      </c>
      <c r="D20" s="64" t="s">
        <v>188</v>
      </c>
      <c r="E20" s="437">
        <v>740.25</v>
      </c>
      <c r="F20" s="438">
        <v>740.25</v>
      </c>
      <c r="G20" s="439">
        <v>740.25</v>
      </c>
      <c r="H20" s="45"/>
      <c r="J20" s="389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2"/>
    </row>
    <row r="21" spans="2:23" ht="23.1" customHeight="1">
      <c r="B21" s="43"/>
      <c r="C21" s="326" t="s">
        <v>94</v>
      </c>
      <c r="D21" s="64" t="s">
        <v>189</v>
      </c>
      <c r="E21" s="437"/>
      <c r="F21" s="438"/>
      <c r="G21" s="439"/>
      <c r="H21" s="45"/>
      <c r="J21" s="389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2"/>
    </row>
    <row r="22" spans="2:23" ht="23.1" customHeight="1">
      <c r="B22" s="43"/>
      <c r="C22" s="326" t="s">
        <v>190</v>
      </c>
      <c r="D22" s="64" t="s">
        <v>191</v>
      </c>
      <c r="E22" s="437">
        <f>20807-20547.25</f>
        <v>259.75</v>
      </c>
      <c r="F22" s="438">
        <v>259.75</v>
      </c>
      <c r="G22" s="439">
        <v>259.75</v>
      </c>
      <c r="H22" s="45"/>
      <c r="J22" s="389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2"/>
    </row>
    <row r="23" spans="2:23" ht="23.1" customHeight="1">
      <c r="B23" s="43"/>
      <c r="C23" s="326" t="s">
        <v>104</v>
      </c>
      <c r="D23" s="64" t="s">
        <v>192</v>
      </c>
      <c r="E23" s="437"/>
      <c r="F23" s="438"/>
      <c r="G23" s="439"/>
      <c r="H23" s="45"/>
      <c r="J23" s="389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2"/>
    </row>
    <row r="24" spans="2:23" ht="23.1" customHeight="1">
      <c r="B24" s="43"/>
      <c r="C24" s="326" t="s">
        <v>109</v>
      </c>
      <c r="D24" s="64" t="s">
        <v>244</v>
      </c>
      <c r="E24" s="437"/>
      <c r="F24" s="438"/>
      <c r="G24" s="439"/>
      <c r="H24" s="45"/>
      <c r="J24" s="389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2"/>
    </row>
    <row r="25" spans="2:23" ht="23.1" customHeight="1">
      <c r="B25" s="43"/>
      <c r="C25" s="326" t="s">
        <v>117</v>
      </c>
      <c r="D25" s="64" t="s">
        <v>193</v>
      </c>
      <c r="E25" s="437"/>
      <c r="F25" s="438"/>
      <c r="G25" s="439"/>
      <c r="H25" s="45"/>
      <c r="J25" s="389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2"/>
    </row>
    <row r="26" spans="2:23" ht="23.1" customHeight="1">
      <c r="B26" s="43"/>
      <c r="C26" s="323" t="s">
        <v>194</v>
      </c>
      <c r="D26" s="62" t="s">
        <v>195</v>
      </c>
      <c r="E26" s="302">
        <f>SUM(E27:E29)</f>
        <v>1069549.3899999999</v>
      </c>
      <c r="F26" s="309">
        <f>SUM(F27:F29)</f>
        <v>1233596.31</v>
      </c>
      <c r="G26" s="324">
        <f>SUM(G27:G29)</f>
        <v>1394996.31</v>
      </c>
      <c r="H26" s="45"/>
      <c r="J26" s="389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2"/>
    </row>
    <row r="27" spans="2:23" ht="23.1" customHeight="1">
      <c r="B27" s="43"/>
      <c r="C27" s="325" t="s">
        <v>83</v>
      </c>
      <c r="D27" s="63" t="s">
        <v>196</v>
      </c>
      <c r="E27" s="434"/>
      <c r="F27" s="435"/>
      <c r="G27" s="436"/>
      <c r="H27" s="45"/>
      <c r="J27" s="389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2"/>
    </row>
    <row r="28" spans="2:23" ht="23.1" customHeight="1">
      <c r="B28" s="43"/>
      <c r="C28" s="326" t="s">
        <v>90</v>
      </c>
      <c r="D28" s="64" t="s">
        <v>197</v>
      </c>
      <c r="E28" s="437">
        <v>1069549.3899999999</v>
      </c>
      <c r="F28" s="438">
        <v>1233596.31</v>
      </c>
      <c r="G28" s="439">
        <f>1292996.31+50000+60000-8000</f>
        <v>1394996.31</v>
      </c>
      <c r="H28" s="45"/>
      <c r="J28" s="389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2"/>
    </row>
    <row r="29" spans="2:23" ht="23.1" customHeight="1">
      <c r="B29" s="43"/>
      <c r="C29" s="326" t="s">
        <v>92</v>
      </c>
      <c r="D29" s="64" t="s">
        <v>198</v>
      </c>
      <c r="E29" s="437"/>
      <c r="F29" s="438"/>
      <c r="G29" s="439"/>
      <c r="H29" s="45"/>
      <c r="J29" s="389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2"/>
    </row>
    <row r="30" spans="2:23" ht="23.1" customHeight="1">
      <c r="B30" s="43"/>
      <c r="C30" s="323" t="s">
        <v>199</v>
      </c>
      <c r="D30" s="62" t="s">
        <v>200</v>
      </c>
      <c r="E30" s="302">
        <f>SUM(E31:E32)</f>
        <v>0</v>
      </c>
      <c r="F30" s="309">
        <f>SUM(F31:F32)</f>
        <v>0</v>
      </c>
      <c r="G30" s="324">
        <f>SUM(G31:G32)</f>
        <v>0</v>
      </c>
      <c r="H30" s="45"/>
      <c r="J30" s="399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1"/>
    </row>
    <row r="31" spans="2:23" ht="23.1" customHeight="1">
      <c r="B31" s="43"/>
      <c r="C31" s="325" t="s">
        <v>83</v>
      </c>
      <c r="D31" s="63" t="s">
        <v>201</v>
      </c>
      <c r="E31" s="434"/>
      <c r="F31" s="435"/>
      <c r="G31" s="436"/>
      <c r="H31" s="45"/>
      <c r="J31" s="399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1"/>
    </row>
    <row r="32" spans="2:23" ht="23.1" customHeight="1">
      <c r="B32" s="43"/>
      <c r="C32" s="326" t="s">
        <v>90</v>
      </c>
      <c r="D32" s="64" t="s">
        <v>202</v>
      </c>
      <c r="E32" s="437"/>
      <c r="F32" s="438"/>
      <c r="G32" s="439"/>
      <c r="H32" s="45"/>
      <c r="J32" s="389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2"/>
    </row>
    <row r="33" spans="2:23" ht="23.1" customHeight="1">
      <c r="B33" s="43"/>
      <c r="C33" s="323" t="s">
        <v>203</v>
      </c>
      <c r="D33" s="62" t="s">
        <v>204</v>
      </c>
      <c r="E33" s="302">
        <f>SUM(E34:E39)</f>
        <v>0</v>
      </c>
      <c r="F33" s="309">
        <f>SUM(F34:F39)</f>
        <v>0</v>
      </c>
      <c r="G33" s="324">
        <f>SUM(G34:G39)</f>
        <v>0</v>
      </c>
      <c r="H33" s="45"/>
      <c r="J33" s="389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2"/>
    </row>
    <row r="34" spans="2:23" ht="23.1" customHeight="1">
      <c r="B34" s="43"/>
      <c r="C34" s="325" t="s">
        <v>83</v>
      </c>
      <c r="D34" s="63" t="s">
        <v>205</v>
      </c>
      <c r="E34" s="434"/>
      <c r="F34" s="435"/>
      <c r="G34" s="436"/>
      <c r="H34" s="45"/>
      <c r="J34" s="389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2"/>
    </row>
    <row r="35" spans="2:23" ht="23.1" customHeight="1">
      <c r="B35" s="43"/>
      <c r="C35" s="326" t="s">
        <v>90</v>
      </c>
      <c r="D35" s="64" t="s">
        <v>206</v>
      </c>
      <c r="E35" s="437"/>
      <c r="F35" s="438"/>
      <c r="G35" s="439"/>
      <c r="H35" s="45"/>
      <c r="J35" s="389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2"/>
    </row>
    <row r="36" spans="2:23" ht="23.1" customHeight="1">
      <c r="B36" s="43"/>
      <c r="C36" s="326" t="s">
        <v>92</v>
      </c>
      <c r="D36" s="64" t="s">
        <v>207</v>
      </c>
      <c r="E36" s="437"/>
      <c r="F36" s="438"/>
      <c r="G36" s="439"/>
      <c r="H36" s="45"/>
      <c r="J36" s="402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4"/>
    </row>
    <row r="37" spans="2:23" ht="23.1" customHeight="1">
      <c r="B37" s="43"/>
      <c r="C37" s="326" t="s">
        <v>94</v>
      </c>
      <c r="D37" s="64" t="s">
        <v>208</v>
      </c>
      <c r="E37" s="437"/>
      <c r="F37" s="438"/>
      <c r="G37" s="439"/>
      <c r="H37" s="45"/>
      <c r="J37" s="402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4"/>
    </row>
    <row r="38" spans="2:23" ht="23.1" customHeight="1">
      <c r="B38" s="43"/>
      <c r="C38" s="326" t="s">
        <v>190</v>
      </c>
      <c r="D38" s="64" t="s">
        <v>209</v>
      </c>
      <c r="E38" s="437"/>
      <c r="F38" s="438"/>
      <c r="G38" s="439"/>
      <c r="H38" s="45"/>
      <c r="J38" s="402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4"/>
    </row>
    <row r="39" spans="2:23" ht="23.1" customHeight="1">
      <c r="B39" s="43"/>
      <c r="C39" s="326" t="s">
        <v>104</v>
      </c>
      <c r="D39" s="64" t="s">
        <v>210</v>
      </c>
      <c r="E39" s="437"/>
      <c r="F39" s="438"/>
      <c r="G39" s="439"/>
      <c r="H39" s="45"/>
      <c r="J39" s="402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4"/>
    </row>
    <row r="40" spans="2:23" ht="23.1" customHeight="1">
      <c r="B40" s="43"/>
      <c r="C40" s="323" t="s">
        <v>211</v>
      </c>
      <c r="D40" s="62" t="s">
        <v>212</v>
      </c>
      <c r="E40" s="302">
        <f>SUM(E41:E46)</f>
        <v>62971.67</v>
      </c>
      <c r="F40" s="309">
        <f>SUM(F41:F46)</f>
        <v>62971.67</v>
      </c>
      <c r="G40" s="324">
        <f>SUM(G41:G46)</f>
        <v>62971.67</v>
      </c>
      <c r="H40" s="45"/>
      <c r="J40" s="402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4"/>
    </row>
    <row r="41" spans="2:23" ht="23.1" customHeight="1">
      <c r="B41" s="43"/>
      <c r="C41" s="325" t="s">
        <v>83</v>
      </c>
      <c r="D41" s="63" t="s">
        <v>205</v>
      </c>
      <c r="E41" s="434"/>
      <c r="F41" s="435"/>
      <c r="G41" s="436"/>
      <c r="H41" s="45"/>
      <c r="J41" s="402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4"/>
    </row>
    <row r="42" spans="2:23" ht="23.1" customHeight="1">
      <c r="B42" s="43"/>
      <c r="C42" s="326" t="s">
        <v>90</v>
      </c>
      <c r="D42" s="64" t="s">
        <v>213</v>
      </c>
      <c r="E42" s="437"/>
      <c r="F42" s="438"/>
      <c r="G42" s="439"/>
      <c r="H42" s="45"/>
      <c r="J42" s="1087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4"/>
    </row>
    <row r="43" spans="2:23" ht="23.1" customHeight="1">
      <c r="B43" s="43"/>
      <c r="C43" s="326" t="s">
        <v>92</v>
      </c>
      <c r="D43" s="64" t="s">
        <v>207</v>
      </c>
      <c r="E43" s="437"/>
      <c r="F43" s="438"/>
      <c r="G43" s="439"/>
      <c r="H43" s="45"/>
      <c r="J43" s="402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4"/>
    </row>
    <row r="44" spans="2:23" ht="23.1" customHeight="1">
      <c r="B44" s="43"/>
      <c r="C44" s="326" t="s">
        <v>94</v>
      </c>
      <c r="D44" s="64" t="s">
        <v>208</v>
      </c>
      <c r="E44" s="437"/>
      <c r="F44" s="438"/>
      <c r="G44" s="439"/>
      <c r="H44" s="45"/>
      <c r="J44" s="402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4"/>
    </row>
    <row r="45" spans="2:23" ht="23.1" customHeight="1">
      <c r="B45" s="43"/>
      <c r="C45" s="326" t="s">
        <v>190</v>
      </c>
      <c r="D45" s="64" t="s">
        <v>209</v>
      </c>
      <c r="E45" s="437">
        <v>62971.67</v>
      </c>
      <c r="F45" s="438">
        <v>62971.67</v>
      </c>
      <c r="G45" s="439">
        <v>62971.67</v>
      </c>
      <c r="H45" s="45"/>
      <c r="J45" s="402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4"/>
    </row>
    <row r="46" spans="2:23" ht="23.1" customHeight="1">
      <c r="B46" s="43"/>
      <c r="C46" s="326" t="s">
        <v>104</v>
      </c>
      <c r="D46" s="64" t="s">
        <v>210</v>
      </c>
      <c r="E46" s="437"/>
      <c r="F46" s="438"/>
      <c r="G46" s="439"/>
      <c r="H46" s="45"/>
      <c r="J46" s="402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4"/>
    </row>
    <row r="47" spans="2:23" ht="23.1" customHeight="1">
      <c r="B47" s="43"/>
      <c r="C47" s="323" t="s">
        <v>214</v>
      </c>
      <c r="D47" s="62" t="s">
        <v>215</v>
      </c>
      <c r="E47" s="440"/>
      <c r="F47" s="441"/>
      <c r="G47" s="442"/>
      <c r="H47" s="45"/>
      <c r="J47" s="402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4"/>
    </row>
    <row r="48" spans="2:23" ht="23.1" customHeight="1">
      <c r="B48" s="43"/>
      <c r="C48" s="323" t="s">
        <v>216</v>
      </c>
      <c r="D48" s="62" t="s">
        <v>217</v>
      </c>
      <c r="E48" s="440">
        <v>0</v>
      </c>
      <c r="F48" s="441">
        <v>0</v>
      </c>
      <c r="G48" s="442">
        <v>0</v>
      </c>
      <c r="H48" s="45"/>
      <c r="J48" s="402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4"/>
    </row>
    <row r="49" spans="2:23" ht="23.1" customHeight="1">
      <c r="B49" s="43"/>
      <c r="C49" s="328"/>
      <c r="D49" s="53"/>
      <c r="E49" s="300"/>
      <c r="F49" s="307"/>
      <c r="G49" s="320"/>
      <c r="H49" s="45"/>
      <c r="J49" s="402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4"/>
    </row>
    <row r="50" spans="2:23" s="67" customFormat="1" ht="23.1" customHeight="1">
      <c r="B50" s="21"/>
      <c r="C50" s="321" t="s">
        <v>172</v>
      </c>
      <c r="D50" s="76" t="s">
        <v>218</v>
      </c>
      <c r="E50" s="301">
        <f>E51+E52+E65+E75+E82+E89+E90</f>
        <v>1215548.3600000001</v>
      </c>
      <c r="F50" s="308">
        <f>F51+F52+F65+F75+F82+F89+F90</f>
        <v>349032.39999999997</v>
      </c>
      <c r="G50" s="322">
        <f>G51+G52+G65+G75+G82+G89+G90</f>
        <v>343455.35</v>
      </c>
      <c r="H50" s="54"/>
      <c r="J50" s="402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4"/>
    </row>
    <row r="51" spans="2:23" ht="23.1" customHeight="1">
      <c r="B51" s="43"/>
      <c r="C51" s="323" t="s">
        <v>184</v>
      </c>
      <c r="D51" s="62" t="s">
        <v>219</v>
      </c>
      <c r="E51" s="440"/>
      <c r="F51" s="441"/>
      <c r="G51" s="442"/>
      <c r="H51" s="45"/>
      <c r="J51" s="402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4"/>
    </row>
    <row r="52" spans="2:23" ht="23.1" customHeight="1">
      <c r="B52" s="43"/>
      <c r="C52" s="323" t="s">
        <v>194</v>
      </c>
      <c r="D52" s="62" t="s">
        <v>220</v>
      </c>
      <c r="E52" s="302">
        <f>E53+E54+E57+E60+E63+E64</f>
        <v>219.71999999999946</v>
      </c>
      <c r="F52" s="309">
        <f t="shared" ref="F52:G52" si="0">F53+F54+F57+F60+F63+F64</f>
        <v>141.85</v>
      </c>
      <c r="G52" s="324">
        <f t="shared" si="0"/>
        <v>141.85</v>
      </c>
      <c r="H52" s="45"/>
      <c r="J52" s="402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4"/>
    </row>
    <row r="53" spans="2:23" ht="23.1" customHeight="1">
      <c r="B53" s="43"/>
      <c r="C53" s="326" t="s">
        <v>83</v>
      </c>
      <c r="D53" s="64" t="s">
        <v>221</v>
      </c>
      <c r="E53" s="437">
        <f>5430.48-5288.63</f>
        <v>141.84999999999945</v>
      </c>
      <c r="F53" s="438">
        <v>141.85</v>
      </c>
      <c r="G53" s="439">
        <v>141.85</v>
      </c>
      <c r="H53" s="45"/>
      <c r="J53" s="402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4"/>
    </row>
    <row r="54" spans="2:23" ht="23.1" customHeight="1">
      <c r="B54" s="43"/>
      <c r="C54" s="326" t="s">
        <v>90</v>
      </c>
      <c r="D54" s="64" t="s">
        <v>222</v>
      </c>
      <c r="E54" s="303">
        <f>E55+E56</f>
        <v>0</v>
      </c>
      <c r="F54" s="310">
        <f t="shared" ref="F54:G54" si="1">F55+F56</f>
        <v>0</v>
      </c>
      <c r="G54" s="327">
        <f t="shared" si="1"/>
        <v>0</v>
      </c>
      <c r="H54" s="45"/>
      <c r="J54" s="402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4"/>
    </row>
    <row r="55" spans="2:23" ht="23.1" customHeight="1">
      <c r="B55" s="43"/>
      <c r="C55" s="329" t="s">
        <v>84</v>
      </c>
      <c r="D55" s="79" t="s">
        <v>246</v>
      </c>
      <c r="E55" s="649"/>
      <c r="F55" s="650"/>
      <c r="G55" s="651"/>
      <c r="H55" s="45"/>
      <c r="J55" s="402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4"/>
    </row>
    <row r="56" spans="2:23" ht="23.1" customHeight="1">
      <c r="B56" s="43"/>
      <c r="C56" s="329" t="s">
        <v>86</v>
      </c>
      <c r="D56" s="79" t="s">
        <v>247</v>
      </c>
      <c r="E56" s="649"/>
      <c r="F56" s="650"/>
      <c r="G56" s="651"/>
      <c r="H56" s="45"/>
      <c r="J56" s="402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4"/>
    </row>
    <row r="57" spans="2:23" ht="23.1" customHeight="1">
      <c r="B57" s="43"/>
      <c r="C57" s="326" t="s">
        <v>92</v>
      </c>
      <c r="D57" s="64" t="s">
        <v>223</v>
      </c>
      <c r="E57" s="303">
        <f>E58+E59</f>
        <v>0</v>
      </c>
      <c r="F57" s="310">
        <f t="shared" ref="F57:G57" si="2">F58+F59</f>
        <v>0</v>
      </c>
      <c r="G57" s="327">
        <f t="shared" si="2"/>
        <v>0</v>
      </c>
      <c r="H57" s="45"/>
      <c r="J57" s="402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4"/>
    </row>
    <row r="58" spans="2:23" ht="23.1" customHeight="1">
      <c r="B58" s="43"/>
      <c r="C58" s="329" t="s">
        <v>84</v>
      </c>
      <c r="D58" s="79" t="s">
        <v>224</v>
      </c>
      <c r="E58" s="649"/>
      <c r="F58" s="650"/>
      <c r="G58" s="651"/>
      <c r="H58" s="45"/>
      <c r="J58" s="402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4"/>
    </row>
    <row r="59" spans="2:23" ht="23.1" customHeight="1">
      <c r="B59" s="43"/>
      <c r="C59" s="329" t="s">
        <v>86</v>
      </c>
      <c r="D59" s="79" t="s">
        <v>225</v>
      </c>
      <c r="E59" s="649"/>
      <c r="F59" s="650"/>
      <c r="G59" s="651"/>
      <c r="H59" s="45"/>
      <c r="J59" s="402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4"/>
    </row>
    <row r="60" spans="2:23" ht="23.1" customHeight="1">
      <c r="B60" s="43"/>
      <c r="C60" s="326" t="s">
        <v>94</v>
      </c>
      <c r="D60" s="64" t="s">
        <v>226</v>
      </c>
      <c r="E60" s="303">
        <f>E61+E62</f>
        <v>0</v>
      </c>
      <c r="F60" s="310">
        <f t="shared" ref="F60:G60" si="3">F61+F62</f>
        <v>0</v>
      </c>
      <c r="G60" s="327">
        <f t="shared" si="3"/>
        <v>0</v>
      </c>
      <c r="H60" s="45"/>
      <c r="J60" s="402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4"/>
    </row>
    <row r="61" spans="2:23" ht="23.1" customHeight="1">
      <c r="B61" s="43"/>
      <c r="C61" s="329" t="s">
        <v>84</v>
      </c>
      <c r="D61" s="79" t="s">
        <v>224</v>
      </c>
      <c r="E61" s="649"/>
      <c r="F61" s="650"/>
      <c r="G61" s="651"/>
      <c r="H61" s="45"/>
      <c r="J61" s="402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4"/>
    </row>
    <row r="62" spans="2:23" ht="23.1" customHeight="1">
      <c r="B62" s="43"/>
      <c r="C62" s="329" t="s">
        <v>86</v>
      </c>
      <c r="D62" s="79" t="s">
        <v>225</v>
      </c>
      <c r="E62" s="649"/>
      <c r="F62" s="650"/>
      <c r="G62" s="651"/>
      <c r="H62" s="45"/>
      <c r="J62" s="402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4"/>
    </row>
    <row r="63" spans="2:23" ht="23.1" customHeight="1">
      <c r="B63" s="43"/>
      <c r="C63" s="326" t="s">
        <v>190</v>
      </c>
      <c r="D63" s="64" t="s">
        <v>227</v>
      </c>
      <c r="E63" s="437"/>
      <c r="F63" s="438"/>
      <c r="G63" s="439"/>
      <c r="H63" s="45"/>
      <c r="J63" s="402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4"/>
    </row>
    <row r="64" spans="2:23" ht="23.1" customHeight="1">
      <c r="B64" s="43"/>
      <c r="C64" s="326" t="s">
        <v>104</v>
      </c>
      <c r="D64" s="64" t="s">
        <v>228</v>
      </c>
      <c r="E64" s="437">
        <v>77.87</v>
      </c>
      <c r="F64" s="438"/>
      <c r="G64" s="439"/>
      <c r="H64" s="45"/>
      <c r="J64" s="402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4"/>
    </row>
    <row r="65" spans="2:23" ht="23.1" customHeight="1">
      <c r="B65" s="43"/>
      <c r="C65" s="323" t="s">
        <v>199</v>
      </c>
      <c r="D65" s="62" t="s">
        <v>229</v>
      </c>
      <c r="E65" s="302">
        <f>E66+SUM(E69:E74)</f>
        <v>929716.45</v>
      </c>
      <c r="F65" s="309">
        <f t="shared" ref="F65:G65" si="4">F66+SUM(F69:F74)</f>
        <v>306675.51</v>
      </c>
      <c r="G65" s="324">
        <f t="shared" si="4"/>
        <v>277098.46000000002</v>
      </c>
      <c r="H65" s="45"/>
      <c r="J65" s="402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4"/>
    </row>
    <row r="66" spans="2:23" ht="23.1" customHeight="1">
      <c r="B66" s="43"/>
      <c r="C66" s="326" t="s">
        <v>83</v>
      </c>
      <c r="D66" s="64" t="s">
        <v>230</v>
      </c>
      <c r="E66" s="303">
        <f>E67+E68</f>
        <v>300102.71000000002</v>
      </c>
      <c r="F66" s="310">
        <f t="shared" ref="F66:G66" si="5">F67+F68</f>
        <v>227135.2</v>
      </c>
      <c r="G66" s="327">
        <f t="shared" si="5"/>
        <v>207135.2</v>
      </c>
      <c r="H66" s="45"/>
      <c r="J66" s="402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4"/>
    </row>
    <row r="67" spans="2:23" ht="23.1" customHeight="1">
      <c r="B67" s="43"/>
      <c r="C67" s="329" t="s">
        <v>84</v>
      </c>
      <c r="D67" s="79" t="s">
        <v>231</v>
      </c>
      <c r="E67" s="649">
        <v>194000</v>
      </c>
      <c r="F67" s="650">
        <v>134000</v>
      </c>
      <c r="G67" s="651">
        <v>134000</v>
      </c>
      <c r="H67" s="45"/>
      <c r="J67" s="402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4"/>
    </row>
    <row r="68" spans="2:23" ht="23.1" customHeight="1">
      <c r="B68" s="43"/>
      <c r="C68" s="329" t="s">
        <v>86</v>
      </c>
      <c r="D68" s="79" t="s">
        <v>232</v>
      </c>
      <c r="E68" s="649">
        <v>106102.71</v>
      </c>
      <c r="F68" s="650">
        <v>93135.2</v>
      </c>
      <c r="G68" s="651">
        <v>73135.199999999997</v>
      </c>
      <c r="H68" s="45"/>
      <c r="J68" s="402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4"/>
    </row>
    <row r="69" spans="2:23" ht="23.1" customHeight="1">
      <c r="B69" s="43"/>
      <c r="C69" s="326" t="s">
        <v>90</v>
      </c>
      <c r="D69" s="64" t="s">
        <v>233</v>
      </c>
      <c r="E69" s="437"/>
      <c r="F69" s="438"/>
      <c r="G69" s="439"/>
      <c r="H69" s="45"/>
      <c r="J69" s="402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4"/>
    </row>
    <row r="70" spans="2:23" ht="23.1" customHeight="1">
      <c r="B70" s="43"/>
      <c r="C70" s="326" t="s">
        <v>92</v>
      </c>
      <c r="D70" s="64" t="s">
        <v>234</v>
      </c>
      <c r="E70" s="437">
        <v>629613.74</v>
      </c>
      <c r="F70" s="438">
        <v>79540.31</v>
      </c>
      <c r="G70" s="439">
        <v>69963.259999999995</v>
      </c>
      <c r="H70" s="45"/>
      <c r="J70" s="402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4"/>
    </row>
    <row r="71" spans="2:23" ht="23.1" customHeight="1">
      <c r="B71" s="43"/>
      <c r="C71" s="326" t="s">
        <v>94</v>
      </c>
      <c r="D71" s="64" t="s">
        <v>62</v>
      </c>
      <c r="E71" s="437"/>
      <c r="F71" s="438"/>
      <c r="G71" s="439"/>
      <c r="H71" s="45"/>
      <c r="J71" s="402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4"/>
    </row>
    <row r="72" spans="2:23" ht="23.1" customHeight="1">
      <c r="B72" s="43"/>
      <c r="C72" s="326" t="s">
        <v>190</v>
      </c>
      <c r="D72" s="64" t="s">
        <v>235</v>
      </c>
      <c r="E72" s="437"/>
      <c r="F72" s="438"/>
      <c r="G72" s="439"/>
      <c r="H72" s="45"/>
      <c r="J72" s="402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4"/>
    </row>
    <row r="73" spans="2:23" ht="23.1" customHeight="1">
      <c r="B73" s="43"/>
      <c r="C73" s="326" t="s">
        <v>104</v>
      </c>
      <c r="D73" s="64" t="s">
        <v>236</v>
      </c>
      <c r="E73" s="437"/>
      <c r="F73" s="438"/>
      <c r="G73" s="439"/>
      <c r="H73" s="45"/>
      <c r="J73" s="402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4"/>
    </row>
    <row r="74" spans="2:23" ht="23.1" customHeight="1">
      <c r="B74" s="43"/>
      <c r="C74" s="326" t="s">
        <v>109</v>
      </c>
      <c r="D74" s="64" t="s">
        <v>237</v>
      </c>
      <c r="E74" s="437"/>
      <c r="F74" s="438"/>
      <c r="G74" s="439"/>
      <c r="H74" s="45"/>
      <c r="J74" s="402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4"/>
    </row>
    <row r="75" spans="2:23" ht="23.1" customHeight="1">
      <c r="B75" s="43"/>
      <c r="C75" s="323" t="s">
        <v>203</v>
      </c>
      <c r="D75" s="62" t="s">
        <v>238</v>
      </c>
      <c r="E75" s="302">
        <f>SUM(E76:E81)</f>
        <v>0</v>
      </c>
      <c r="F75" s="309">
        <f t="shared" ref="F75:G75" si="6">SUM(F76:F81)</f>
        <v>0</v>
      </c>
      <c r="G75" s="324">
        <f t="shared" si="6"/>
        <v>0</v>
      </c>
      <c r="H75" s="45"/>
      <c r="J75" s="402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4"/>
    </row>
    <row r="76" spans="2:23" ht="23.1" customHeight="1">
      <c r="B76" s="43"/>
      <c r="C76" s="326" t="s">
        <v>83</v>
      </c>
      <c r="D76" s="64" t="s">
        <v>205</v>
      </c>
      <c r="E76" s="437"/>
      <c r="F76" s="438"/>
      <c r="G76" s="439"/>
      <c r="H76" s="45"/>
      <c r="J76" s="402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4"/>
    </row>
    <row r="77" spans="2:23" ht="23.1" customHeight="1">
      <c r="B77" s="43"/>
      <c r="C77" s="326" t="s">
        <v>90</v>
      </c>
      <c r="D77" s="64" t="s">
        <v>206</v>
      </c>
      <c r="E77" s="437"/>
      <c r="F77" s="438"/>
      <c r="G77" s="439"/>
      <c r="H77" s="45"/>
      <c r="J77" s="402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4"/>
    </row>
    <row r="78" spans="2:23" ht="23.1" customHeight="1">
      <c r="B78" s="43"/>
      <c r="C78" s="326" t="s">
        <v>92</v>
      </c>
      <c r="D78" s="64" t="s">
        <v>207</v>
      </c>
      <c r="E78" s="437"/>
      <c r="F78" s="438"/>
      <c r="G78" s="439"/>
      <c r="H78" s="45"/>
      <c r="J78" s="402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4"/>
    </row>
    <row r="79" spans="2:23" ht="23.1" customHeight="1">
      <c r="B79" s="43"/>
      <c r="C79" s="326" t="s">
        <v>94</v>
      </c>
      <c r="D79" s="64" t="s">
        <v>208</v>
      </c>
      <c r="E79" s="437"/>
      <c r="F79" s="438"/>
      <c r="G79" s="439"/>
      <c r="H79" s="45"/>
      <c r="J79" s="402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4"/>
    </row>
    <row r="80" spans="2:23" ht="23.1" customHeight="1">
      <c r="B80" s="43"/>
      <c r="C80" s="326" t="s">
        <v>190</v>
      </c>
      <c r="D80" s="64" t="s">
        <v>209</v>
      </c>
      <c r="E80" s="437"/>
      <c r="F80" s="438"/>
      <c r="G80" s="439"/>
      <c r="H80" s="45"/>
      <c r="J80" s="402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4"/>
    </row>
    <row r="81" spans="2:23" ht="23.1" customHeight="1">
      <c r="B81" s="43"/>
      <c r="C81" s="326" t="s">
        <v>104</v>
      </c>
      <c r="D81" s="64" t="s">
        <v>210</v>
      </c>
      <c r="E81" s="437"/>
      <c r="F81" s="438"/>
      <c r="G81" s="439"/>
      <c r="H81" s="45"/>
      <c r="J81" s="402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4"/>
    </row>
    <row r="82" spans="2:23" ht="23.1" customHeight="1">
      <c r="B82" s="43"/>
      <c r="C82" s="323" t="s">
        <v>211</v>
      </c>
      <c r="D82" s="62" t="s">
        <v>239</v>
      </c>
      <c r="E82" s="302">
        <f>SUM(E83:E88)</f>
        <v>0</v>
      </c>
      <c r="F82" s="309">
        <f t="shared" ref="F82:G82" si="7">SUM(F83:F88)</f>
        <v>0</v>
      </c>
      <c r="G82" s="324">
        <f t="shared" si="7"/>
        <v>0</v>
      </c>
      <c r="H82" s="45"/>
      <c r="J82" s="402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4"/>
    </row>
    <row r="83" spans="2:23" ht="23.1" customHeight="1">
      <c r="B83" s="43"/>
      <c r="C83" s="326" t="s">
        <v>83</v>
      </c>
      <c r="D83" s="64" t="s">
        <v>205</v>
      </c>
      <c r="E83" s="437"/>
      <c r="F83" s="438"/>
      <c r="G83" s="439"/>
      <c r="H83" s="45"/>
      <c r="J83" s="402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4"/>
    </row>
    <row r="84" spans="2:23" ht="23.1" customHeight="1">
      <c r="B84" s="43"/>
      <c r="C84" s="326" t="s">
        <v>90</v>
      </c>
      <c r="D84" s="64" t="s">
        <v>206</v>
      </c>
      <c r="E84" s="437"/>
      <c r="F84" s="438"/>
      <c r="G84" s="439"/>
      <c r="H84" s="45"/>
      <c r="J84" s="402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4"/>
    </row>
    <row r="85" spans="2:23" ht="23.1" customHeight="1">
      <c r="B85" s="43"/>
      <c r="C85" s="326" t="s">
        <v>92</v>
      </c>
      <c r="D85" s="64" t="s">
        <v>207</v>
      </c>
      <c r="E85" s="437"/>
      <c r="F85" s="438"/>
      <c r="G85" s="439"/>
      <c r="H85" s="45"/>
      <c r="J85" s="402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4"/>
    </row>
    <row r="86" spans="2:23" ht="23.1" customHeight="1">
      <c r="B86" s="43"/>
      <c r="C86" s="326" t="s">
        <v>94</v>
      </c>
      <c r="D86" s="64" t="s">
        <v>208</v>
      </c>
      <c r="E86" s="437"/>
      <c r="F86" s="438"/>
      <c r="G86" s="439"/>
      <c r="H86" s="45"/>
      <c r="J86" s="402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4"/>
    </row>
    <row r="87" spans="2:23" ht="23.1" customHeight="1">
      <c r="B87" s="43"/>
      <c r="C87" s="326" t="s">
        <v>190</v>
      </c>
      <c r="D87" s="64" t="s">
        <v>209</v>
      </c>
      <c r="E87" s="437"/>
      <c r="F87" s="438"/>
      <c r="G87" s="439"/>
      <c r="H87" s="45"/>
      <c r="J87" s="402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4"/>
    </row>
    <row r="88" spans="2:23" ht="23.1" customHeight="1">
      <c r="B88" s="43"/>
      <c r="C88" s="326" t="s">
        <v>104</v>
      </c>
      <c r="D88" s="64" t="s">
        <v>210</v>
      </c>
      <c r="E88" s="437"/>
      <c r="F88" s="438"/>
      <c r="G88" s="439"/>
      <c r="H88" s="45"/>
      <c r="J88" s="402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4"/>
    </row>
    <row r="89" spans="2:23" s="67" customFormat="1" ht="23.1" customHeight="1">
      <c r="B89" s="21"/>
      <c r="C89" s="323" t="s">
        <v>214</v>
      </c>
      <c r="D89" s="62" t="s">
        <v>240</v>
      </c>
      <c r="E89" s="440">
        <v>127196.59</v>
      </c>
      <c r="F89" s="441"/>
      <c r="G89" s="442"/>
      <c r="H89" s="54"/>
      <c r="J89" s="402"/>
      <c r="K89" s="1088"/>
      <c r="L89" s="1088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4"/>
    </row>
    <row r="90" spans="2:23" ht="23.1" customHeight="1">
      <c r="B90" s="43"/>
      <c r="C90" s="323" t="s">
        <v>216</v>
      </c>
      <c r="D90" s="62" t="s">
        <v>241</v>
      </c>
      <c r="E90" s="302">
        <f>SUM(E91:E92)</f>
        <v>158415.6</v>
      </c>
      <c r="F90" s="309">
        <f t="shared" ref="F90:G90" si="8">SUM(F91:F92)</f>
        <v>42215.040000000001</v>
      </c>
      <c r="G90" s="324">
        <f t="shared" si="8"/>
        <v>66215.039999999994</v>
      </c>
      <c r="H90" s="45"/>
      <c r="J90" s="402"/>
      <c r="K90" s="1088"/>
      <c r="L90" s="1088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4"/>
    </row>
    <row r="91" spans="2:23" ht="23.1" customHeight="1">
      <c r="B91" s="43"/>
      <c r="C91" s="326" t="s">
        <v>83</v>
      </c>
      <c r="D91" s="64" t="s">
        <v>242</v>
      </c>
      <c r="E91" s="437">
        <v>158415.6</v>
      </c>
      <c r="F91" s="438">
        <v>42215.040000000001</v>
      </c>
      <c r="G91" s="439">
        <v>66215.039999999994</v>
      </c>
      <c r="H91" s="45"/>
      <c r="J91" s="402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4"/>
    </row>
    <row r="92" spans="2:23" ht="23.1" customHeight="1">
      <c r="B92" s="43"/>
      <c r="C92" s="330" t="s">
        <v>90</v>
      </c>
      <c r="D92" s="331" t="s">
        <v>243</v>
      </c>
      <c r="E92" s="443"/>
      <c r="F92" s="444"/>
      <c r="G92" s="445"/>
      <c r="H92" s="45"/>
      <c r="J92" s="402"/>
      <c r="K92" s="403"/>
      <c r="L92" s="403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4"/>
    </row>
    <row r="93" spans="2:23" ht="23.1" customHeight="1">
      <c r="B93" s="43"/>
      <c r="C93" s="295"/>
      <c r="D93" s="53"/>
      <c r="E93" s="304"/>
      <c r="F93" s="311"/>
      <c r="G93" s="296"/>
      <c r="H93" s="45"/>
      <c r="J93" s="402"/>
      <c r="K93" s="403"/>
      <c r="L93" s="403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4"/>
    </row>
    <row r="94" spans="2:23" s="74" customFormat="1" ht="23.1" customHeight="1" thickBot="1">
      <c r="B94" s="72"/>
      <c r="C94" s="135" t="s">
        <v>248</v>
      </c>
      <c r="D94" s="71"/>
      <c r="E94" s="305">
        <f>E50+E16</f>
        <v>2349069.42</v>
      </c>
      <c r="F94" s="312">
        <f t="shared" ref="F94:G94" si="9">F50+F16</f>
        <v>1646600.38</v>
      </c>
      <c r="G94" s="297">
        <f t="shared" si="9"/>
        <v>1802423.33</v>
      </c>
      <c r="H94" s="73"/>
      <c r="J94" s="402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4"/>
    </row>
    <row r="95" spans="2:23" ht="23.1" customHeight="1" thickBot="1">
      <c r="B95" s="47"/>
      <c r="C95" s="1116"/>
      <c r="D95" s="1116"/>
      <c r="E95" s="1116"/>
      <c r="F95" s="1116"/>
      <c r="G95" s="49"/>
      <c r="H95" s="50"/>
      <c r="J95" s="405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407"/>
    </row>
    <row r="96" spans="2:23" ht="23.1" customHeight="1">
      <c r="I96" s="38" t="s">
        <v>951</v>
      </c>
    </row>
    <row r="97" spans="3:7" ht="12.75">
      <c r="C97" s="34" t="s">
        <v>72</v>
      </c>
      <c r="G97" s="37" t="s">
        <v>687</v>
      </c>
    </row>
    <row r="98" spans="3:7" ht="12.75">
      <c r="C98" s="34" t="s">
        <v>73</v>
      </c>
    </row>
    <row r="99" spans="3:7" ht="12.75">
      <c r="C99" s="34" t="s">
        <v>74</v>
      </c>
    </row>
    <row r="100" spans="3:7" ht="12.75">
      <c r="C100" s="34" t="s">
        <v>75</v>
      </c>
    </row>
    <row r="101" spans="3:7" ht="12.75">
      <c r="C101" s="34" t="s">
        <v>76</v>
      </c>
    </row>
    <row r="102" spans="3:7" ht="66" customHeight="1">
      <c r="E102" s="655"/>
      <c r="F102" s="653"/>
      <c r="G102" s="653"/>
    </row>
  </sheetData>
  <sheetProtection password="C494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W94"/>
  <sheetViews>
    <sheetView topLeftCell="D21" workbookViewId="0">
      <selection activeCell="K66" sqref="K66"/>
    </sheetView>
  </sheetViews>
  <sheetFormatPr baseColWidth="10" defaultColWidth="10.6640625" defaultRowHeight="23.1" customHeight="1"/>
  <cols>
    <col min="1" max="1" width="4.33203125" style="38" bestFit="1" customWidth="1"/>
    <col min="2" max="2" width="3.33203125" style="38" customWidth="1"/>
    <col min="3" max="3" width="13.5546875" style="38" customWidth="1"/>
    <col min="4" max="4" width="76.6640625" style="38" customWidth="1"/>
    <col min="5" max="7" width="18.33203125" style="38" customWidth="1"/>
    <col min="8" max="8" width="3.33203125" style="38" customWidth="1"/>
    <col min="9" max="16384" width="10.6640625" style="38"/>
  </cols>
  <sheetData>
    <row r="2" spans="1:23" ht="23.1" customHeight="1">
      <c r="D2" s="57" t="s">
        <v>31</v>
      </c>
    </row>
    <row r="3" spans="1:23" ht="23.1" customHeight="1">
      <c r="D3" s="57" t="s">
        <v>32</v>
      </c>
    </row>
    <row r="4" spans="1:23" ht="23.1" customHeight="1" thickBot="1">
      <c r="A4" s="38" t="s">
        <v>950</v>
      </c>
    </row>
    <row r="5" spans="1:23" ht="9" customHeight="1">
      <c r="B5" s="40"/>
      <c r="C5" s="41"/>
      <c r="D5" s="41"/>
      <c r="E5" s="41"/>
      <c r="F5" s="41"/>
      <c r="G5" s="41"/>
      <c r="H5" s="42"/>
      <c r="J5" s="386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8"/>
    </row>
    <row r="6" spans="1:23" ht="30" customHeight="1">
      <c r="B6" s="43"/>
      <c r="C6" s="1" t="s">
        <v>0</v>
      </c>
      <c r="G6" s="1110">
        <f>ejercicio</f>
        <v>2019</v>
      </c>
      <c r="H6" s="45"/>
      <c r="J6" s="389"/>
      <c r="K6" s="390" t="s">
        <v>689</v>
      </c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2"/>
    </row>
    <row r="7" spans="1:23" ht="30" customHeight="1">
      <c r="B7" s="43"/>
      <c r="C7" s="1" t="s">
        <v>1</v>
      </c>
      <c r="G7" s="1110"/>
      <c r="H7" s="45"/>
      <c r="J7" s="389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2"/>
    </row>
    <row r="8" spans="1:23" ht="30" customHeight="1">
      <c r="B8" s="43"/>
      <c r="C8" s="44"/>
      <c r="G8" s="46"/>
      <c r="H8" s="45"/>
      <c r="J8" s="389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2"/>
    </row>
    <row r="9" spans="1:23" s="53" customFormat="1" ht="30" customHeight="1">
      <c r="B9" s="51"/>
      <c r="C9" s="35" t="s">
        <v>2</v>
      </c>
      <c r="D9" s="1117" t="str">
        <f>Entidad</f>
        <v>TEA TENERIFE ESPACIO DE LAS ARTES</v>
      </c>
      <c r="E9" s="1117"/>
      <c r="F9" s="1117"/>
      <c r="G9" s="1117"/>
      <c r="H9" s="52"/>
      <c r="J9" s="393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5"/>
    </row>
    <row r="10" spans="1:23" ht="7.35" customHeight="1">
      <c r="B10" s="43"/>
      <c r="H10" s="45"/>
      <c r="J10" s="389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2"/>
    </row>
    <row r="11" spans="1:23" s="55" customFormat="1" ht="30" customHeight="1">
      <c r="B11" s="21"/>
      <c r="C11" s="10" t="s">
        <v>250</v>
      </c>
      <c r="D11" s="10"/>
      <c r="E11" s="10"/>
      <c r="F11" s="10"/>
      <c r="G11" s="10"/>
      <c r="H11" s="54"/>
      <c r="J11" s="396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8"/>
    </row>
    <row r="12" spans="1:23" s="55" customFormat="1" ht="30" customHeight="1">
      <c r="B12" s="21"/>
      <c r="H12" s="54"/>
      <c r="J12" s="396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8"/>
    </row>
    <row r="13" spans="1:23" ht="23.1" customHeight="1">
      <c r="B13" s="43"/>
      <c r="C13" s="194"/>
      <c r="D13" s="195"/>
      <c r="E13" s="196" t="s">
        <v>178</v>
      </c>
      <c r="F13" s="196" t="s">
        <v>179</v>
      </c>
      <c r="G13" s="197" t="s">
        <v>180</v>
      </c>
      <c r="H13" s="45"/>
      <c r="J13" s="389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2"/>
    </row>
    <row r="14" spans="1:23" ht="23.1" customHeight="1">
      <c r="B14" s="43"/>
      <c r="C14" s="198" t="s">
        <v>389</v>
      </c>
      <c r="D14" s="60"/>
      <c r="E14" s="199">
        <f>ejercicio-2</f>
        <v>2017</v>
      </c>
      <c r="F14" s="199">
        <f>ejercicio-1</f>
        <v>2018</v>
      </c>
      <c r="G14" s="200">
        <f>ejercicio</f>
        <v>2019</v>
      </c>
      <c r="H14" s="45"/>
      <c r="J14" s="389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2"/>
    </row>
    <row r="15" spans="1:23" ht="23.1" customHeight="1">
      <c r="B15" s="43"/>
      <c r="C15" s="122"/>
      <c r="D15" s="78"/>
      <c r="E15" s="115"/>
      <c r="F15" s="115"/>
      <c r="G15" s="123"/>
      <c r="H15" s="45"/>
      <c r="J15" s="389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2"/>
    </row>
    <row r="16" spans="1:23" ht="23.1" customHeight="1">
      <c r="B16" s="43"/>
      <c r="C16" s="124" t="s">
        <v>81</v>
      </c>
      <c r="D16" s="76" t="s">
        <v>251</v>
      </c>
      <c r="E16" s="116">
        <f>E17+E35+E41</f>
        <v>1036439.5199999998</v>
      </c>
      <c r="F16" s="116">
        <f>F17+F35+F41</f>
        <v>1417463.7999999998</v>
      </c>
      <c r="G16" s="125">
        <f>G17+G35+G41</f>
        <v>1602863.7999999996</v>
      </c>
      <c r="H16" s="45"/>
      <c r="J16" s="389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2"/>
    </row>
    <row r="17" spans="2:23" ht="23.1" customHeight="1">
      <c r="B17" s="43"/>
      <c r="C17" s="126" t="s">
        <v>131</v>
      </c>
      <c r="D17" s="62" t="s">
        <v>252</v>
      </c>
      <c r="E17" s="117">
        <f>+E18+E21+E22+E27+E28+E31+E32+E33+E34</f>
        <v>-59055.600000000326</v>
      </c>
      <c r="F17" s="117">
        <f>+F18+F21+F22+F27+F28+F31+F32+F33+F34</f>
        <v>198868.6799999997</v>
      </c>
      <c r="G17" s="127">
        <f>+G18+G21+G22+G27+G28+G31+G32+G33+G34</f>
        <v>198868.67999999947</v>
      </c>
      <c r="H17" s="45"/>
      <c r="J17" s="389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2"/>
    </row>
    <row r="18" spans="2:23" ht="23.1" customHeight="1">
      <c r="B18" s="43"/>
      <c r="C18" s="126" t="s">
        <v>184</v>
      </c>
      <c r="D18" s="62" t="s">
        <v>253</v>
      </c>
      <c r="E18" s="117">
        <f>SUM(E19:E20)</f>
        <v>0</v>
      </c>
      <c r="F18" s="117">
        <f>SUM(F19:F20)</f>
        <v>0</v>
      </c>
      <c r="G18" s="127">
        <f>SUM(G19:G20)</f>
        <v>0</v>
      </c>
      <c r="H18" s="45"/>
      <c r="J18" s="389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2"/>
    </row>
    <row r="19" spans="2:23" ht="23.1" customHeight="1">
      <c r="B19" s="43"/>
      <c r="C19" s="128" t="s">
        <v>83</v>
      </c>
      <c r="D19" s="63" t="s">
        <v>254</v>
      </c>
      <c r="E19" s="430"/>
      <c r="F19" s="430"/>
      <c r="G19" s="446"/>
      <c r="H19" s="45"/>
      <c r="J19" s="389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2"/>
    </row>
    <row r="20" spans="2:23" ht="23.1" customHeight="1">
      <c r="B20" s="43"/>
      <c r="C20" s="129" t="s">
        <v>90</v>
      </c>
      <c r="D20" s="64" t="s">
        <v>255</v>
      </c>
      <c r="E20" s="431"/>
      <c r="F20" s="431"/>
      <c r="G20" s="447"/>
      <c r="H20" s="45"/>
      <c r="J20" s="389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2"/>
    </row>
    <row r="21" spans="2:23" ht="23.1" customHeight="1">
      <c r="B21" s="43"/>
      <c r="C21" s="126" t="s">
        <v>194</v>
      </c>
      <c r="D21" s="62" t="s">
        <v>256</v>
      </c>
      <c r="E21" s="432"/>
      <c r="F21" s="432"/>
      <c r="G21" s="448"/>
      <c r="H21" s="45"/>
      <c r="J21" s="389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2"/>
    </row>
    <row r="22" spans="2:23" ht="23.1" customHeight="1">
      <c r="B22" s="43"/>
      <c r="C22" s="126" t="s">
        <v>199</v>
      </c>
      <c r="D22" s="62" t="s">
        <v>257</v>
      </c>
      <c r="E22" s="117">
        <f>SUM(E23:E26)</f>
        <v>-86923.67</v>
      </c>
      <c r="F22" s="117">
        <f>SUM(F23:F26)</f>
        <v>-86923.67</v>
      </c>
      <c r="G22" s="127">
        <f>SUM(G23:G26)</f>
        <v>-86923.67</v>
      </c>
      <c r="H22" s="45"/>
      <c r="J22" s="389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2"/>
    </row>
    <row r="23" spans="2:23" ht="23.1" customHeight="1">
      <c r="B23" s="43"/>
      <c r="C23" s="128" t="s">
        <v>83</v>
      </c>
      <c r="D23" s="63" t="s">
        <v>258</v>
      </c>
      <c r="E23" s="430"/>
      <c r="F23" s="430"/>
      <c r="G23" s="446"/>
      <c r="H23" s="45"/>
      <c r="J23" s="389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2"/>
    </row>
    <row r="24" spans="2:23" ht="23.1" customHeight="1">
      <c r="B24" s="43"/>
      <c r="C24" s="129" t="s">
        <v>90</v>
      </c>
      <c r="D24" s="64" t="s">
        <v>259</v>
      </c>
      <c r="E24" s="431">
        <v>-86923.67</v>
      </c>
      <c r="F24" s="431">
        <v>-86923.67</v>
      </c>
      <c r="G24" s="447">
        <v>-86923.67</v>
      </c>
      <c r="H24" s="45"/>
      <c r="J24" s="389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2"/>
    </row>
    <row r="25" spans="2:23" ht="23.1" customHeight="1">
      <c r="B25" s="43"/>
      <c r="C25" s="129" t="s">
        <v>92</v>
      </c>
      <c r="D25" s="64" t="s">
        <v>260</v>
      </c>
      <c r="E25" s="431"/>
      <c r="F25" s="431"/>
      <c r="G25" s="447"/>
      <c r="H25" s="45"/>
      <c r="J25" s="389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2"/>
    </row>
    <row r="26" spans="2:23" ht="23.1" customHeight="1">
      <c r="B26" s="43"/>
      <c r="C26" s="129" t="s">
        <v>94</v>
      </c>
      <c r="D26" s="64" t="s">
        <v>315</v>
      </c>
      <c r="E26" s="431"/>
      <c r="F26" s="431"/>
      <c r="G26" s="447"/>
      <c r="H26" s="45"/>
      <c r="J26" s="389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2"/>
    </row>
    <row r="27" spans="2:23" ht="23.1" customHeight="1">
      <c r="B27" s="43"/>
      <c r="C27" s="126" t="s">
        <v>203</v>
      </c>
      <c r="D27" s="62" t="s">
        <v>261</v>
      </c>
      <c r="E27" s="432"/>
      <c r="F27" s="432"/>
      <c r="G27" s="448"/>
      <c r="H27" s="45"/>
      <c r="J27" s="389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2"/>
    </row>
    <row r="28" spans="2:23" ht="23.1" customHeight="1">
      <c r="B28" s="43"/>
      <c r="C28" s="126" t="s">
        <v>211</v>
      </c>
      <c r="D28" s="62" t="s">
        <v>262</v>
      </c>
      <c r="E28" s="117">
        <f>SUM(E29:E30)</f>
        <v>-10525560.18</v>
      </c>
      <c r="F28" s="117">
        <f>SUM(F29:F30)</f>
        <v>-11710879.210000001</v>
      </c>
      <c r="G28" s="127">
        <f>SUM(G29:G30)</f>
        <v>-12806205.630000001</v>
      </c>
      <c r="H28" s="45"/>
      <c r="J28" s="389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2"/>
    </row>
    <row r="29" spans="2:23" ht="23.1" customHeight="1">
      <c r="B29" s="43"/>
      <c r="C29" s="128" t="s">
        <v>83</v>
      </c>
      <c r="D29" s="63" t="s">
        <v>263</v>
      </c>
      <c r="E29" s="430">
        <v>1458.19</v>
      </c>
      <c r="F29" s="430">
        <v>1458.19</v>
      </c>
      <c r="G29" s="446">
        <v>1458.19</v>
      </c>
      <c r="H29" s="45"/>
      <c r="J29" s="389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2"/>
    </row>
    <row r="30" spans="2:23" ht="23.1" customHeight="1">
      <c r="B30" s="43"/>
      <c r="C30" s="129" t="s">
        <v>90</v>
      </c>
      <c r="D30" s="64" t="s">
        <v>264</v>
      </c>
      <c r="E30" s="431">
        <v>-10527018.369999999</v>
      </c>
      <c r="F30" s="431">
        <v>-11712337.4</v>
      </c>
      <c r="G30" s="447">
        <v>-12807663.82</v>
      </c>
      <c r="H30" s="45"/>
      <c r="J30" s="389"/>
      <c r="K30" s="391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1"/>
    </row>
    <row r="31" spans="2:23" ht="23.1" customHeight="1">
      <c r="B31" s="43"/>
      <c r="C31" s="126" t="s">
        <v>214</v>
      </c>
      <c r="D31" s="62" t="s">
        <v>265</v>
      </c>
      <c r="E31" s="432">
        <v>11738747.279999999</v>
      </c>
      <c r="F31" s="432">
        <v>13091997.98</v>
      </c>
      <c r="G31" s="448">
        <v>14472730.16</v>
      </c>
      <c r="H31" s="45"/>
      <c r="J31" s="389"/>
      <c r="K31" s="391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1"/>
    </row>
    <row r="32" spans="2:23" ht="23.1" customHeight="1">
      <c r="B32" s="43"/>
      <c r="C32" s="126" t="s">
        <v>216</v>
      </c>
      <c r="D32" s="62" t="s">
        <v>266</v>
      </c>
      <c r="E32" s="432">
        <v>-1185319.03</v>
      </c>
      <c r="F32" s="432">
        <v>-1095326.42</v>
      </c>
      <c r="G32" s="448">
        <v>-1380732.18</v>
      </c>
      <c r="H32" s="45"/>
      <c r="J32" s="389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2"/>
    </row>
    <row r="33" spans="2:23" ht="23.1" customHeight="1">
      <c r="B33" s="43"/>
      <c r="C33" s="126" t="s">
        <v>267</v>
      </c>
      <c r="D33" s="62" t="s">
        <v>268</v>
      </c>
      <c r="E33" s="432"/>
      <c r="F33" s="432"/>
      <c r="G33" s="448"/>
      <c r="H33" s="45"/>
      <c r="J33" s="389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2"/>
    </row>
    <row r="34" spans="2:23" ht="23.1" customHeight="1">
      <c r="B34" s="43"/>
      <c r="C34" s="126" t="s">
        <v>269</v>
      </c>
      <c r="D34" s="62" t="s">
        <v>270</v>
      </c>
      <c r="E34" s="432"/>
      <c r="F34" s="432"/>
      <c r="G34" s="448"/>
      <c r="H34" s="45"/>
      <c r="J34" s="389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2"/>
    </row>
    <row r="35" spans="2:23" ht="23.1" customHeight="1">
      <c r="B35" s="43"/>
      <c r="C35" s="126" t="s">
        <v>165</v>
      </c>
      <c r="D35" s="62" t="s">
        <v>271</v>
      </c>
      <c r="E35" s="117">
        <f>SUM(E36:E40)</f>
        <v>0</v>
      </c>
      <c r="F35" s="117">
        <f>SUM(F36:F40)</f>
        <v>0</v>
      </c>
      <c r="G35" s="127">
        <f>SUM(G36:G40)</f>
        <v>0</v>
      </c>
      <c r="H35" s="45"/>
      <c r="J35" s="389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2"/>
    </row>
    <row r="36" spans="2:23" ht="23.1" customHeight="1">
      <c r="B36" s="43"/>
      <c r="C36" s="126" t="s">
        <v>184</v>
      </c>
      <c r="D36" s="62" t="s">
        <v>272</v>
      </c>
      <c r="E36" s="432"/>
      <c r="F36" s="432"/>
      <c r="G36" s="448"/>
      <c r="H36" s="45"/>
      <c r="J36" s="402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4"/>
    </row>
    <row r="37" spans="2:23" ht="23.1" customHeight="1">
      <c r="B37" s="43"/>
      <c r="C37" s="126" t="s">
        <v>194</v>
      </c>
      <c r="D37" s="62" t="s">
        <v>273</v>
      </c>
      <c r="E37" s="432"/>
      <c r="F37" s="432"/>
      <c r="G37" s="448"/>
      <c r="H37" s="45"/>
      <c r="J37" s="402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4"/>
    </row>
    <row r="38" spans="2:23" ht="23.1" customHeight="1">
      <c r="B38" s="43"/>
      <c r="C38" s="126" t="s">
        <v>199</v>
      </c>
      <c r="D38" s="62" t="s">
        <v>274</v>
      </c>
      <c r="E38" s="432"/>
      <c r="F38" s="432"/>
      <c r="G38" s="448"/>
      <c r="H38" s="45"/>
      <c r="J38" s="402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4"/>
    </row>
    <row r="39" spans="2:23" ht="23.1" customHeight="1">
      <c r="B39" s="43"/>
      <c r="C39" s="126" t="s">
        <v>203</v>
      </c>
      <c r="D39" s="62" t="s">
        <v>275</v>
      </c>
      <c r="E39" s="432"/>
      <c r="F39" s="432"/>
      <c r="G39" s="448"/>
      <c r="H39" s="45"/>
      <c r="J39" s="402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4"/>
    </row>
    <row r="40" spans="2:23" ht="23.1" customHeight="1">
      <c r="B40" s="43"/>
      <c r="C40" s="126" t="s">
        <v>211</v>
      </c>
      <c r="D40" s="62" t="s">
        <v>276</v>
      </c>
      <c r="E40" s="432"/>
      <c r="F40" s="432"/>
      <c r="G40" s="448"/>
      <c r="H40" s="45"/>
      <c r="J40" s="402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4"/>
    </row>
    <row r="41" spans="2:23" ht="23.1" customHeight="1">
      <c r="B41" s="43"/>
      <c r="C41" s="126" t="s">
        <v>167</v>
      </c>
      <c r="D41" s="62" t="s">
        <v>277</v>
      </c>
      <c r="E41" s="432">
        <v>1095495.1200000001</v>
      </c>
      <c r="F41" s="432">
        <v>1218595.1200000001</v>
      </c>
      <c r="G41" s="448">
        <f>1411995.12-8000</f>
        <v>1403995.12</v>
      </c>
      <c r="H41" s="45"/>
      <c r="J41" s="402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4"/>
    </row>
    <row r="42" spans="2:23" ht="23.1" customHeight="1">
      <c r="B42" s="43"/>
      <c r="C42" s="131"/>
      <c r="D42" s="53"/>
      <c r="E42" s="120"/>
      <c r="F42" s="120"/>
      <c r="G42" s="132"/>
      <c r="H42" s="45"/>
      <c r="J42" s="402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4"/>
    </row>
    <row r="43" spans="2:23" ht="23.1" customHeight="1">
      <c r="B43" s="43"/>
      <c r="C43" s="124" t="s">
        <v>278</v>
      </c>
      <c r="D43" s="76" t="s">
        <v>279</v>
      </c>
      <c r="E43" s="116">
        <f>E44+E49+SUM(E55:E59)</f>
        <v>312656.57</v>
      </c>
      <c r="F43" s="116">
        <f>F44+F49+SUM(F55:F59)</f>
        <v>15963.3</v>
      </c>
      <c r="G43" s="125">
        <f>G44+G49+SUM(G55:G59)</f>
        <v>15963.3</v>
      </c>
      <c r="H43" s="45"/>
      <c r="J43" s="402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4"/>
    </row>
    <row r="44" spans="2:23" ht="23.1" customHeight="1">
      <c r="B44" s="43"/>
      <c r="C44" s="126" t="s">
        <v>184</v>
      </c>
      <c r="D44" s="62" t="s">
        <v>280</v>
      </c>
      <c r="E44" s="117">
        <f>SUM(E45:E48)</f>
        <v>0</v>
      </c>
      <c r="F44" s="117">
        <f>SUM(F45:F48)</f>
        <v>0</v>
      </c>
      <c r="G44" s="127">
        <f>SUM(G45:G48)</f>
        <v>0</v>
      </c>
      <c r="H44" s="45"/>
      <c r="J44" s="402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4"/>
    </row>
    <row r="45" spans="2:23" ht="23.1" customHeight="1">
      <c r="B45" s="43"/>
      <c r="C45" s="128" t="s">
        <v>83</v>
      </c>
      <c r="D45" s="63" t="s">
        <v>281</v>
      </c>
      <c r="E45" s="430"/>
      <c r="F45" s="430"/>
      <c r="G45" s="446"/>
      <c r="H45" s="45"/>
      <c r="J45" s="402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4"/>
    </row>
    <row r="46" spans="2:23" ht="23.1" customHeight="1">
      <c r="B46" s="43"/>
      <c r="C46" s="129" t="s">
        <v>90</v>
      </c>
      <c r="D46" s="64" t="s">
        <v>282</v>
      </c>
      <c r="E46" s="431"/>
      <c r="F46" s="431"/>
      <c r="G46" s="447"/>
      <c r="H46" s="45"/>
      <c r="J46" s="402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4"/>
    </row>
    <row r="47" spans="2:23" ht="23.1" customHeight="1">
      <c r="B47" s="43"/>
      <c r="C47" s="129" t="s">
        <v>92</v>
      </c>
      <c r="D47" s="64" t="s">
        <v>283</v>
      </c>
      <c r="E47" s="431"/>
      <c r="F47" s="431"/>
      <c r="G47" s="447"/>
      <c r="H47" s="45"/>
      <c r="J47" s="402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4"/>
    </row>
    <row r="48" spans="2:23" ht="23.1" customHeight="1">
      <c r="B48" s="43"/>
      <c r="C48" s="129" t="s">
        <v>94</v>
      </c>
      <c r="D48" s="64" t="s">
        <v>284</v>
      </c>
      <c r="E48" s="431"/>
      <c r="F48" s="431"/>
      <c r="G48" s="447"/>
      <c r="H48" s="45"/>
      <c r="J48" s="402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4"/>
    </row>
    <row r="49" spans="2:23" ht="23.1" customHeight="1">
      <c r="B49" s="43"/>
      <c r="C49" s="126" t="s">
        <v>194</v>
      </c>
      <c r="D49" s="62" t="s">
        <v>285</v>
      </c>
      <c r="E49" s="117">
        <f>SUM(E50:E54)</f>
        <v>296693.27</v>
      </c>
      <c r="F49" s="117">
        <f>SUM(F50:F54)</f>
        <v>0</v>
      </c>
      <c r="G49" s="127">
        <f>SUM(G50:G54)</f>
        <v>0</v>
      </c>
      <c r="H49" s="45"/>
      <c r="J49" s="402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4"/>
    </row>
    <row r="50" spans="2:23" ht="23.1" customHeight="1">
      <c r="B50" s="43"/>
      <c r="C50" s="128" t="s">
        <v>83</v>
      </c>
      <c r="D50" s="63" t="s">
        <v>286</v>
      </c>
      <c r="E50" s="430"/>
      <c r="F50" s="430"/>
      <c r="G50" s="446"/>
      <c r="H50" s="45"/>
      <c r="J50" s="402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4"/>
    </row>
    <row r="51" spans="2:23" s="67" customFormat="1" ht="23.1" customHeight="1">
      <c r="B51" s="21"/>
      <c r="C51" s="129" t="s">
        <v>90</v>
      </c>
      <c r="D51" s="64" t="s">
        <v>287</v>
      </c>
      <c r="E51" s="431"/>
      <c r="F51" s="431"/>
      <c r="G51" s="447"/>
      <c r="H51" s="54"/>
      <c r="J51" s="402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4"/>
    </row>
    <row r="52" spans="2:23" ht="23.1" customHeight="1">
      <c r="B52" s="43"/>
      <c r="C52" s="129" t="s">
        <v>92</v>
      </c>
      <c r="D52" s="64" t="s">
        <v>288</v>
      </c>
      <c r="E52" s="431"/>
      <c r="F52" s="431"/>
      <c r="G52" s="447"/>
      <c r="H52" s="45"/>
      <c r="J52" s="402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4"/>
    </row>
    <row r="53" spans="2:23" ht="23.1" customHeight="1">
      <c r="B53" s="43"/>
      <c r="C53" s="129" t="s">
        <v>94</v>
      </c>
      <c r="D53" s="64" t="s">
        <v>208</v>
      </c>
      <c r="E53" s="431"/>
      <c r="F53" s="431"/>
      <c r="G53" s="447"/>
      <c r="H53" s="45"/>
      <c r="J53" s="402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4"/>
    </row>
    <row r="54" spans="2:23" ht="23.1" customHeight="1">
      <c r="B54" s="43"/>
      <c r="C54" s="129" t="s">
        <v>190</v>
      </c>
      <c r="D54" s="64" t="s">
        <v>289</v>
      </c>
      <c r="E54" s="431">
        <v>296693.27</v>
      </c>
      <c r="F54" s="431">
        <v>0</v>
      </c>
      <c r="G54" s="447"/>
      <c r="H54" s="45"/>
      <c r="J54" s="402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4"/>
    </row>
    <row r="55" spans="2:23" ht="23.1" customHeight="1">
      <c r="B55" s="43"/>
      <c r="C55" s="126" t="s">
        <v>199</v>
      </c>
      <c r="D55" s="62" t="s">
        <v>290</v>
      </c>
      <c r="E55" s="432"/>
      <c r="F55" s="432"/>
      <c r="G55" s="448"/>
      <c r="H55" s="45"/>
      <c r="J55" s="402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4"/>
    </row>
    <row r="56" spans="2:23" ht="23.1" customHeight="1">
      <c r="B56" s="43"/>
      <c r="C56" s="126" t="s">
        <v>203</v>
      </c>
      <c r="D56" s="62" t="s">
        <v>291</v>
      </c>
      <c r="E56" s="432">
        <v>15963.3</v>
      </c>
      <c r="F56" s="432">
        <v>15963.3</v>
      </c>
      <c r="G56" s="448">
        <v>15963.3</v>
      </c>
      <c r="H56" s="45"/>
      <c r="J56" s="402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4"/>
    </row>
    <row r="57" spans="2:23" ht="23.1" customHeight="1">
      <c r="B57" s="43"/>
      <c r="C57" s="126" t="s">
        <v>211</v>
      </c>
      <c r="D57" s="62" t="s">
        <v>292</v>
      </c>
      <c r="E57" s="432"/>
      <c r="F57" s="432"/>
      <c r="G57" s="448"/>
      <c r="H57" s="45"/>
      <c r="J57" s="402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4"/>
    </row>
    <row r="58" spans="2:23" ht="23.1" customHeight="1">
      <c r="B58" s="43"/>
      <c r="C58" s="126" t="s">
        <v>214</v>
      </c>
      <c r="D58" s="62" t="s">
        <v>293</v>
      </c>
      <c r="E58" s="432"/>
      <c r="F58" s="432"/>
      <c r="G58" s="448"/>
      <c r="H58" s="45"/>
      <c r="J58" s="402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4"/>
    </row>
    <row r="59" spans="2:23" ht="23.1" customHeight="1">
      <c r="B59" s="43"/>
      <c r="C59" s="126" t="s">
        <v>216</v>
      </c>
      <c r="D59" s="62" t="s">
        <v>294</v>
      </c>
      <c r="E59" s="432"/>
      <c r="F59" s="432"/>
      <c r="G59" s="448"/>
      <c r="H59" s="45"/>
      <c r="J59" s="402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4"/>
    </row>
    <row r="60" spans="2:23" ht="23.1" customHeight="1">
      <c r="B60" s="43"/>
      <c r="C60" s="133"/>
      <c r="D60" s="1"/>
      <c r="E60" s="120"/>
      <c r="F60" s="120"/>
      <c r="G60" s="132"/>
      <c r="H60" s="45"/>
      <c r="J60" s="402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4"/>
    </row>
    <row r="61" spans="2:23" ht="23.1" customHeight="1">
      <c r="B61" s="43"/>
      <c r="C61" s="124" t="s">
        <v>295</v>
      </c>
      <c r="D61" s="76" t="s">
        <v>296</v>
      </c>
      <c r="E61" s="116">
        <f>E62+E63+E66+E72+E73+E83+E84</f>
        <v>999973.33</v>
      </c>
      <c r="F61" s="116">
        <f>F62+F63+F66+F72+F73+F83+F84</f>
        <v>213173.28</v>
      </c>
      <c r="G61" s="125">
        <f>G62+G63+G66+G72+G73+G83+G84</f>
        <v>183596.23</v>
      </c>
      <c r="H61" s="45"/>
      <c r="J61" s="402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4"/>
    </row>
    <row r="62" spans="2:23" ht="23.1" customHeight="1">
      <c r="B62" s="43"/>
      <c r="C62" s="126" t="s">
        <v>184</v>
      </c>
      <c r="D62" s="62" t="s">
        <v>297</v>
      </c>
      <c r="E62" s="432"/>
      <c r="F62" s="432"/>
      <c r="G62" s="448"/>
      <c r="H62" s="45"/>
      <c r="J62" s="402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4"/>
    </row>
    <row r="63" spans="2:23" ht="23.1" customHeight="1">
      <c r="B63" s="43"/>
      <c r="C63" s="126" t="s">
        <v>194</v>
      </c>
      <c r="D63" s="62" t="s">
        <v>298</v>
      </c>
      <c r="E63" s="117">
        <f>SUM(E64:E65)</f>
        <v>0</v>
      </c>
      <c r="F63" s="117">
        <f>SUM(F64:F65)</f>
        <v>0</v>
      </c>
      <c r="G63" s="127">
        <f>SUM(G64:G65)</f>
        <v>0</v>
      </c>
      <c r="H63" s="45"/>
      <c r="J63" s="402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4"/>
    </row>
    <row r="64" spans="2:23" ht="23.1" customHeight="1">
      <c r="B64" s="43"/>
      <c r="C64" s="128" t="s">
        <v>83</v>
      </c>
      <c r="D64" s="63" t="s">
        <v>299</v>
      </c>
      <c r="E64" s="430"/>
      <c r="F64" s="430"/>
      <c r="G64" s="446"/>
      <c r="H64" s="45"/>
      <c r="J64" s="402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4"/>
    </row>
    <row r="65" spans="2:23" ht="23.1" customHeight="1">
      <c r="B65" s="43"/>
      <c r="C65" s="129" t="s">
        <v>90</v>
      </c>
      <c r="D65" s="64" t="s">
        <v>284</v>
      </c>
      <c r="E65" s="431"/>
      <c r="F65" s="431"/>
      <c r="G65" s="447"/>
      <c r="H65" s="45"/>
      <c r="J65" s="402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4"/>
    </row>
    <row r="66" spans="2:23" ht="23.1" customHeight="1">
      <c r="B66" s="43"/>
      <c r="C66" s="126" t="s">
        <v>199</v>
      </c>
      <c r="D66" s="62" t="s">
        <v>300</v>
      </c>
      <c r="E66" s="117">
        <f>SUM(E67:E71)</f>
        <v>527176.9</v>
      </c>
      <c r="F66" s="117">
        <f>SUM(F67:F71)</f>
        <v>2050</v>
      </c>
      <c r="G66" s="127">
        <f>SUM(G67:G71)</f>
        <v>2050</v>
      </c>
      <c r="H66" s="45"/>
      <c r="J66" s="402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4"/>
    </row>
    <row r="67" spans="2:23" ht="23.1" customHeight="1">
      <c r="B67" s="43"/>
      <c r="C67" s="128" t="s">
        <v>83</v>
      </c>
      <c r="D67" s="63" t="s">
        <v>301</v>
      </c>
      <c r="E67" s="430"/>
      <c r="F67" s="430"/>
      <c r="G67" s="446"/>
      <c r="H67" s="45"/>
      <c r="J67" s="402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4"/>
    </row>
    <row r="68" spans="2:23" ht="23.1" customHeight="1">
      <c r="B68" s="43"/>
      <c r="C68" s="129" t="s">
        <v>90</v>
      </c>
      <c r="D68" s="64" t="s">
        <v>287</v>
      </c>
      <c r="E68" s="431"/>
      <c r="F68" s="431"/>
      <c r="G68" s="447"/>
      <c r="H68" s="45"/>
      <c r="J68" s="402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4"/>
    </row>
    <row r="69" spans="2:23" ht="23.1" customHeight="1">
      <c r="B69" s="43"/>
      <c r="C69" s="129" t="s">
        <v>92</v>
      </c>
      <c r="D69" s="64" t="s">
        <v>288</v>
      </c>
      <c r="E69" s="431"/>
      <c r="F69" s="431"/>
      <c r="G69" s="447"/>
      <c r="H69" s="45"/>
      <c r="J69" s="402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4"/>
    </row>
    <row r="70" spans="2:23" ht="23.1" customHeight="1">
      <c r="B70" s="43"/>
      <c r="C70" s="129" t="s">
        <v>94</v>
      </c>
      <c r="D70" s="64" t="s">
        <v>208</v>
      </c>
      <c r="E70" s="431"/>
      <c r="F70" s="431"/>
      <c r="G70" s="447"/>
      <c r="H70" s="45"/>
      <c r="J70" s="402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4"/>
    </row>
    <row r="71" spans="2:23" ht="23.1" customHeight="1">
      <c r="B71" s="43"/>
      <c r="C71" s="129" t="s">
        <v>190</v>
      </c>
      <c r="D71" s="64" t="s">
        <v>289</v>
      </c>
      <c r="E71" s="431">
        <v>527176.9</v>
      </c>
      <c r="F71" s="431">
        <f>5092.84-3042.84</f>
        <v>2050</v>
      </c>
      <c r="G71" s="447">
        <f>5092.84-3042.84</f>
        <v>2050</v>
      </c>
      <c r="H71" s="45"/>
      <c r="J71" s="402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4"/>
    </row>
    <row r="72" spans="2:23" ht="23.1" customHeight="1">
      <c r="B72" s="43"/>
      <c r="C72" s="126" t="s">
        <v>203</v>
      </c>
      <c r="D72" s="62" t="s">
        <v>302</v>
      </c>
      <c r="E72" s="432"/>
      <c r="F72" s="432"/>
      <c r="G72" s="448"/>
      <c r="H72" s="45"/>
      <c r="J72" s="402"/>
      <c r="K72" s="1088"/>
      <c r="L72" s="1088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4"/>
    </row>
    <row r="73" spans="2:23" ht="23.1" customHeight="1">
      <c r="B73" s="43"/>
      <c r="C73" s="126" t="s">
        <v>211</v>
      </c>
      <c r="D73" s="62" t="s">
        <v>303</v>
      </c>
      <c r="E73" s="117">
        <f>E74+SUM(E77:E82)</f>
        <v>445713.10000000003</v>
      </c>
      <c r="F73" s="117">
        <f>F74+SUM(F77:F82)</f>
        <v>211123.28</v>
      </c>
      <c r="G73" s="127">
        <f>G74+SUM(G77:G82)</f>
        <v>181546.23</v>
      </c>
      <c r="H73" s="45"/>
      <c r="J73" s="402"/>
      <c r="K73" s="1088"/>
      <c r="L73" s="1088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4"/>
    </row>
    <row r="74" spans="2:23" ht="23.1" customHeight="1">
      <c r="B74" s="43"/>
      <c r="C74" s="129" t="s">
        <v>83</v>
      </c>
      <c r="D74" s="64" t="s">
        <v>304</v>
      </c>
      <c r="E74" s="119">
        <f>SUM(E75:E76)</f>
        <v>473.74</v>
      </c>
      <c r="F74" s="119">
        <f>SUM(F75:F76)</f>
        <v>-350.4</v>
      </c>
      <c r="G74" s="130">
        <f>SUM(G75:G76)</f>
        <v>-350.4</v>
      </c>
      <c r="H74" s="45"/>
      <c r="J74" s="402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4"/>
    </row>
    <row r="75" spans="2:23" ht="23.1" customHeight="1">
      <c r="B75" s="43"/>
      <c r="C75" s="134" t="s">
        <v>84</v>
      </c>
      <c r="D75" s="79" t="s">
        <v>305</v>
      </c>
      <c r="E75" s="449"/>
      <c r="F75" s="449"/>
      <c r="G75" s="450"/>
      <c r="H75" s="45"/>
      <c r="J75" s="402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4"/>
    </row>
    <row r="76" spans="2:23" ht="23.1" customHeight="1">
      <c r="B76" s="43"/>
      <c r="C76" s="134" t="s">
        <v>86</v>
      </c>
      <c r="D76" s="79" t="s">
        <v>306</v>
      </c>
      <c r="E76" s="449">
        <v>473.74</v>
      </c>
      <c r="F76" s="449">
        <v>-350.4</v>
      </c>
      <c r="G76" s="450">
        <v>-350.4</v>
      </c>
      <c r="H76" s="45"/>
      <c r="J76" s="402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4"/>
    </row>
    <row r="77" spans="2:23" ht="23.1" customHeight="1">
      <c r="B77" s="43"/>
      <c r="C77" s="129" t="s">
        <v>90</v>
      </c>
      <c r="D77" s="64" t="s">
        <v>307</v>
      </c>
      <c r="E77" s="431"/>
      <c r="F77" s="431"/>
      <c r="G77" s="447"/>
      <c r="H77" s="45"/>
      <c r="J77" s="402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4"/>
    </row>
    <row r="78" spans="2:23" ht="23.1" customHeight="1">
      <c r="B78" s="43"/>
      <c r="C78" s="129" t="s">
        <v>92</v>
      </c>
      <c r="D78" s="64" t="s">
        <v>308</v>
      </c>
      <c r="E78" s="431">
        <f>385039.9+60199.46</f>
        <v>445239.36000000004</v>
      </c>
      <c r="F78" s="431">
        <f>221382-12951.16+3042.84</f>
        <v>211473.68</v>
      </c>
      <c r="G78" s="447">
        <f>191804.95-12951.16+3042.84</f>
        <v>181896.63</v>
      </c>
      <c r="H78" s="45"/>
      <c r="J78" s="402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4"/>
    </row>
    <row r="79" spans="2:23" ht="23.1" customHeight="1">
      <c r="B79" s="43"/>
      <c r="C79" s="129" t="s">
        <v>94</v>
      </c>
      <c r="D79" s="64" t="s">
        <v>309</v>
      </c>
      <c r="E79" s="431"/>
      <c r="F79" s="431"/>
      <c r="G79" s="447"/>
      <c r="H79" s="45"/>
      <c r="J79" s="402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4"/>
    </row>
    <row r="80" spans="2:23" ht="23.1" customHeight="1">
      <c r="B80" s="43"/>
      <c r="C80" s="129" t="s">
        <v>190</v>
      </c>
      <c r="D80" s="64" t="s">
        <v>310</v>
      </c>
      <c r="E80" s="431"/>
      <c r="F80" s="431"/>
      <c r="G80" s="447"/>
      <c r="H80" s="45"/>
      <c r="J80" s="402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4"/>
    </row>
    <row r="81" spans="2:23" ht="23.1" customHeight="1">
      <c r="B81" s="43"/>
      <c r="C81" s="129" t="s">
        <v>104</v>
      </c>
      <c r="D81" s="64" t="s">
        <v>311</v>
      </c>
      <c r="E81" s="431"/>
      <c r="F81" s="431"/>
      <c r="G81" s="447"/>
      <c r="H81" s="45"/>
      <c r="J81" s="402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4"/>
    </row>
    <row r="82" spans="2:23" ht="23.1" customHeight="1">
      <c r="B82" s="43"/>
      <c r="C82" s="129" t="s">
        <v>109</v>
      </c>
      <c r="D82" s="64" t="s">
        <v>312</v>
      </c>
      <c r="E82" s="431"/>
      <c r="F82" s="431"/>
      <c r="G82" s="447"/>
      <c r="H82" s="45"/>
      <c r="J82" s="402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4"/>
    </row>
    <row r="83" spans="2:23" ht="23.1" customHeight="1">
      <c r="B83" s="43"/>
      <c r="C83" s="126" t="s">
        <v>214</v>
      </c>
      <c r="D83" s="62" t="s">
        <v>240</v>
      </c>
      <c r="E83" s="432">
        <v>27083.33</v>
      </c>
      <c r="F83" s="432"/>
      <c r="G83" s="448"/>
      <c r="H83" s="45"/>
      <c r="J83" s="402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4"/>
    </row>
    <row r="84" spans="2:23" ht="23.1" customHeight="1">
      <c r="B84" s="43"/>
      <c r="C84" s="126" t="s">
        <v>216</v>
      </c>
      <c r="D84" s="62" t="s">
        <v>313</v>
      </c>
      <c r="E84" s="432"/>
      <c r="F84" s="432"/>
      <c r="G84" s="448"/>
      <c r="H84" s="45"/>
      <c r="J84" s="402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4"/>
    </row>
    <row r="85" spans="2:23" ht="23.1" customHeight="1">
      <c r="B85" s="43"/>
      <c r="C85" s="122"/>
      <c r="D85" s="78"/>
      <c r="E85" s="120"/>
      <c r="F85" s="120"/>
      <c r="G85" s="132"/>
      <c r="H85" s="45"/>
      <c r="J85" s="402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4"/>
    </row>
    <row r="86" spans="2:23" ht="23.1" customHeight="1" thickBot="1">
      <c r="B86" s="43"/>
      <c r="C86" s="135" t="s">
        <v>314</v>
      </c>
      <c r="D86" s="71"/>
      <c r="E86" s="121">
        <f>E16+E43+E61</f>
        <v>2349069.42</v>
      </c>
      <c r="F86" s="121">
        <f>F16+F43+F61</f>
        <v>1646600.38</v>
      </c>
      <c r="G86" s="136">
        <f>G16+G43+G61</f>
        <v>1802423.3299999996</v>
      </c>
      <c r="H86" s="45"/>
      <c r="J86" s="402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4"/>
    </row>
    <row r="87" spans="2:23" ht="23.1" customHeight="1" thickBot="1">
      <c r="B87" s="47"/>
      <c r="C87" s="1116"/>
      <c r="D87" s="1116"/>
      <c r="E87" s="1116"/>
      <c r="F87" s="1116"/>
      <c r="G87" s="49"/>
      <c r="H87" s="50"/>
      <c r="J87" s="405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7"/>
    </row>
    <row r="88" spans="2:23" ht="23.1" customHeight="1">
      <c r="I88" s="38" t="s">
        <v>951</v>
      </c>
    </row>
    <row r="89" spans="2:23" ht="12.75">
      <c r="C89" s="34" t="s">
        <v>72</v>
      </c>
      <c r="G89" s="37" t="s">
        <v>688</v>
      </c>
    </row>
    <row r="90" spans="2:23" ht="12.75">
      <c r="C90" s="34" t="s">
        <v>73</v>
      </c>
    </row>
    <row r="91" spans="2:23" ht="12.75">
      <c r="C91" s="34" t="s">
        <v>74</v>
      </c>
    </row>
    <row r="92" spans="2:23" ht="12.75">
      <c r="C92" s="34" t="s">
        <v>75</v>
      </c>
    </row>
    <row r="93" spans="2:23" ht="12.75">
      <c r="C93" s="34" t="s">
        <v>76</v>
      </c>
    </row>
    <row r="94" spans="2:23" ht="23.1" customHeight="1">
      <c r="E94" s="653" t="str">
        <f>IF(_CHECK_LIST!J15&gt;0,"Revisa","")</f>
        <v/>
      </c>
      <c r="F94" s="653" t="str">
        <f>IF(_CHECK_LIST!K15&gt;0,"Revisa","")</f>
        <v/>
      </c>
      <c r="G94" s="653" t="str">
        <f>IF(_CHECK_LIST!L15&gt;0,"Revisa","")</f>
        <v/>
      </c>
    </row>
  </sheetData>
  <sheetProtection password="C494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F69"/>
  <sheetViews>
    <sheetView topLeftCell="E22" workbookViewId="0">
      <selection activeCell="K54" sqref="K54"/>
    </sheetView>
  </sheetViews>
  <sheetFormatPr baseColWidth="10" defaultColWidth="10.6640625" defaultRowHeight="23.1" customHeight="1"/>
  <cols>
    <col min="1" max="1" width="4.33203125" style="38" bestFit="1" customWidth="1"/>
    <col min="2" max="2" width="3.33203125" style="38" customWidth="1"/>
    <col min="3" max="3" width="13.5546875" style="38" customWidth="1"/>
    <col min="4" max="4" width="76.6640625" style="38" customWidth="1"/>
    <col min="5" max="16" width="18.33203125" style="38" customWidth="1"/>
    <col min="17" max="17" width="3.33203125" style="38" customWidth="1"/>
    <col min="18" max="16384" width="10.6640625" style="38"/>
  </cols>
  <sheetData>
    <row r="2" spans="1:32" ht="23.1" customHeight="1">
      <c r="D2" s="57" t="s">
        <v>31</v>
      </c>
    </row>
    <row r="3" spans="1:32" ht="23.1" customHeight="1">
      <c r="D3" s="57" t="s">
        <v>32</v>
      </c>
    </row>
    <row r="4" spans="1:32" ht="23.1" customHeight="1" thickBot="1">
      <c r="A4" s="38" t="s">
        <v>950</v>
      </c>
    </row>
    <row r="5" spans="1:32" ht="9" customHeight="1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S5" s="386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8"/>
    </row>
    <row r="6" spans="1:32" ht="30" customHeight="1">
      <c r="B6" s="43"/>
      <c r="C6" s="1" t="s">
        <v>0</v>
      </c>
      <c r="P6" s="1110">
        <f>ejercicio</f>
        <v>2019</v>
      </c>
      <c r="Q6" s="45"/>
      <c r="S6" s="389"/>
      <c r="T6" s="390" t="s">
        <v>689</v>
      </c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2"/>
    </row>
    <row r="7" spans="1:32" ht="30" customHeight="1">
      <c r="B7" s="43"/>
      <c r="C7" s="1" t="s">
        <v>1</v>
      </c>
      <c r="P7" s="1110"/>
      <c r="Q7" s="45"/>
      <c r="S7" s="389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2"/>
    </row>
    <row r="8" spans="1:32" ht="30" customHeight="1">
      <c r="B8" s="43"/>
      <c r="C8" s="44"/>
      <c r="P8" s="46"/>
      <c r="Q8" s="45"/>
      <c r="S8" s="389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2"/>
    </row>
    <row r="9" spans="1:32" s="53" customFormat="1" ht="30" customHeight="1">
      <c r="B9" s="51"/>
      <c r="C9" s="35" t="s">
        <v>2</v>
      </c>
      <c r="D9" s="1117" t="str">
        <f>Entidad</f>
        <v>TEA TENERIFE ESPACIO DE LAS ARTES</v>
      </c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52"/>
      <c r="S9" s="393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5"/>
    </row>
    <row r="10" spans="1:32" ht="7.35" customHeight="1">
      <c r="B10" s="43"/>
      <c r="Q10" s="45"/>
      <c r="S10" s="389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2"/>
    </row>
    <row r="11" spans="1:32" s="55" customFormat="1" ht="30" customHeight="1">
      <c r="B11" s="21"/>
      <c r="C11" s="10" t="s">
        <v>975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54"/>
      <c r="S11" s="396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8"/>
    </row>
    <row r="12" spans="1:32" s="55" customFormat="1" ht="30" customHeight="1">
      <c r="B12" s="21"/>
      <c r="Q12" s="54"/>
      <c r="S12" s="396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8"/>
    </row>
    <row r="13" spans="1:32" ht="23.1" customHeight="1">
      <c r="B13" s="43"/>
      <c r="C13" s="1146">
        <f>ejercicio-1</f>
        <v>2018</v>
      </c>
      <c r="D13" s="1148" t="s">
        <v>983</v>
      </c>
      <c r="E13" s="196" t="s">
        <v>679</v>
      </c>
      <c r="F13" s="196" t="s">
        <v>976</v>
      </c>
      <c r="G13" s="196" t="s">
        <v>977</v>
      </c>
      <c r="H13" s="196" t="s">
        <v>976</v>
      </c>
      <c r="I13" s="1066" t="s">
        <v>980</v>
      </c>
      <c r="J13" s="1066" t="s">
        <v>981</v>
      </c>
      <c r="K13" s="1066" t="s">
        <v>1004</v>
      </c>
      <c r="L13" s="196" t="s">
        <v>982</v>
      </c>
      <c r="M13" s="1159"/>
      <c r="N13" s="1160"/>
      <c r="O13" s="1160"/>
      <c r="P13" s="1161"/>
      <c r="Q13" s="45"/>
      <c r="S13" s="389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2"/>
    </row>
    <row r="14" spans="1:32" ht="23.1" customHeight="1">
      <c r="B14" s="43"/>
      <c r="C14" s="1147"/>
      <c r="D14" s="1149"/>
      <c r="E14" s="199">
        <f>ejercicio-2</f>
        <v>2017</v>
      </c>
      <c r="F14" s="763" t="s">
        <v>253</v>
      </c>
      <c r="G14" s="763" t="s">
        <v>253</v>
      </c>
      <c r="H14" s="763" t="s">
        <v>979</v>
      </c>
      <c r="I14" s="1067" t="s">
        <v>978</v>
      </c>
      <c r="J14" s="1068" t="s">
        <v>985</v>
      </c>
      <c r="K14" s="1067" t="s">
        <v>1005</v>
      </c>
      <c r="L14" s="199">
        <f>ejercicio-1</f>
        <v>2018</v>
      </c>
      <c r="M14" s="1162" t="s">
        <v>1006</v>
      </c>
      <c r="N14" s="1163"/>
      <c r="O14" s="1163"/>
      <c r="P14" s="1164"/>
      <c r="Q14" s="45"/>
      <c r="S14" s="389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2"/>
    </row>
    <row r="15" spans="1:32" ht="23.1" customHeight="1">
      <c r="B15" s="43"/>
      <c r="C15" s="122"/>
      <c r="D15" s="78"/>
      <c r="E15" s="115"/>
      <c r="F15" s="115"/>
      <c r="G15" s="115"/>
      <c r="H15" s="115"/>
      <c r="I15" s="115"/>
      <c r="J15" s="115"/>
      <c r="K15" s="115"/>
      <c r="L15" s="115"/>
      <c r="M15" s="1165"/>
      <c r="N15" s="1166"/>
      <c r="O15" s="1166"/>
      <c r="P15" s="1167"/>
      <c r="Q15" s="45"/>
      <c r="S15" s="389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2"/>
    </row>
    <row r="16" spans="1:32" s="67" customFormat="1" ht="27" customHeight="1">
      <c r="B16" s="21"/>
      <c r="C16" s="124" t="s">
        <v>131</v>
      </c>
      <c r="D16" s="76" t="s">
        <v>252</v>
      </c>
      <c r="E16" s="116">
        <f t="shared" ref="E16:L16" si="0">+E17+E20+E21+E26+E27+E30+E31+E32+E33</f>
        <v>-59055.600000000326</v>
      </c>
      <c r="F16" s="116">
        <f t="shared" si="0"/>
        <v>0</v>
      </c>
      <c r="G16" s="116">
        <f t="shared" si="0"/>
        <v>0</v>
      </c>
      <c r="H16" s="116">
        <f t="shared" si="0"/>
        <v>1353250.7000000011</v>
      </c>
      <c r="I16" s="116">
        <f t="shared" si="0"/>
        <v>0</v>
      </c>
      <c r="J16" s="116">
        <f t="shared" si="0"/>
        <v>0</v>
      </c>
      <c r="K16" s="116">
        <f t="shared" si="0"/>
        <v>-1095326.42</v>
      </c>
      <c r="L16" s="116">
        <f t="shared" si="0"/>
        <v>198868.68000000156</v>
      </c>
      <c r="M16" s="1168"/>
      <c r="N16" s="1169"/>
      <c r="O16" s="1169"/>
      <c r="P16" s="1170"/>
      <c r="Q16" s="54"/>
      <c r="S16" s="1063"/>
      <c r="T16" s="1064"/>
      <c r="U16" s="1064"/>
      <c r="V16" s="1064"/>
      <c r="W16" s="1064"/>
      <c r="X16" s="1064"/>
      <c r="Y16" s="1064"/>
      <c r="Z16" s="1064"/>
      <c r="AA16" s="1064"/>
      <c r="AB16" s="1064"/>
      <c r="AC16" s="1064"/>
      <c r="AD16" s="1064"/>
      <c r="AE16" s="1064"/>
      <c r="AF16" s="1065"/>
    </row>
    <row r="17" spans="2:32" ht="27" customHeight="1">
      <c r="B17" s="43"/>
      <c r="C17" s="126" t="s">
        <v>184</v>
      </c>
      <c r="D17" s="62" t="s">
        <v>253</v>
      </c>
      <c r="E17" s="117">
        <f t="shared" ref="E17:L17" si="1">SUM(E18:E19)</f>
        <v>0</v>
      </c>
      <c r="F17" s="117">
        <f t="shared" si="1"/>
        <v>0</v>
      </c>
      <c r="G17" s="117">
        <f t="shared" si="1"/>
        <v>0</v>
      </c>
      <c r="H17" s="117">
        <f t="shared" si="1"/>
        <v>0</v>
      </c>
      <c r="I17" s="117">
        <f t="shared" si="1"/>
        <v>0</v>
      </c>
      <c r="J17" s="117">
        <f t="shared" si="1"/>
        <v>0</v>
      </c>
      <c r="K17" s="117">
        <f t="shared" si="1"/>
        <v>0</v>
      </c>
      <c r="L17" s="117">
        <f t="shared" si="1"/>
        <v>0</v>
      </c>
      <c r="M17" s="1143"/>
      <c r="N17" s="1144"/>
      <c r="O17" s="1144"/>
      <c r="P17" s="1145"/>
      <c r="Q17" s="45"/>
      <c r="S17" s="389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2"/>
    </row>
    <row r="18" spans="2:32" ht="27" customHeight="1">
      <c r="B18" s="43"/>
      <c r="C18" s="128" t="s">
        <v>83</v>
      </c>
      <c r="D18" s="63" t="s">
        <v>254</v>
      </c>
      <c r="E18" s="118">
        <f>'FC-4_PASIVO'!E19</f>
        <v>0</v>
      </c>
      <c r="F18" s="430"/>
      <c r="G18" s="430"/>
      <c r="H18" s="430"/>
      <c r="I18" s="430"/>
      <c r="J18" s="430"/>
      <c r="K18" s="430"/>
      <c r="L18" s="118">
        <f>SUM(E18:K18)</f>
        <v>0</v>
      </c>
      <c r="M18" s="1156"/>
      <c r="N18" s="1157"/>
      <c r="O18" s="1157"/>
      <c r="P18" s="1158"/>
      <c r="Q18" s="45"/>
      <c r="S18" s="389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2"/>
    </row>
    <row r="19" spans="2:32" ht="27" customHeight="1">
      <c r="B19" s="43"/>
      <c r="C19" s="129" t="s">
        <v>90</v>
      </c>
      <c r="D19" s="64" t="s">
        <v>255</v>
      </c>
      <c r="E19" s="119">
        <f>'FC-4_PASIVO'!E20</f>
        <v>0</v>
      </c>
      <c r="F19" s="431"/>
      <c r="G19" s="431"/>
      <c r="H19" s="431"/>
      <c r="I19" s="431"/>
      <c r="J19" s="431"/>
      <c r="K19" s="431"/>
      <c r="L19" s="119">
        <f>SUM(E19:K19)</f>
        <v>0</v>
      </c>
      <c r="M19" s="1150"/>
      <c r="N19" s="1151"/>
      <c r="O19" s="1151"/>
      <c r="P19" s="1152"/>
      <c r="Q19" s="45"/>
      <c r="S19" s="389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2"/>
    </row>
    <row r="20" spans="2:32" ht="27" customHeight="1">
      <c r="B20" s="43"/>
      <c r="C20" s="126" t="s">
        <v>194</v>
      </c>
      <c r="D20" s="62" t="s">
        <v>256</v>
      </c>
      <c r="E20" s="117">
        <f>'FC-4_PASIVO'!E21</f>
        <v>0</v>
      </c>
      <c r="F20" s="432"/>
      <c r="G20" s="432"/>
      <c r="H20" s="432"/>
      <c r="I20" s="432"/>
      <c r="J20" s="432"/>
      <c r="K20" s="432"/>
      <c r="L20" s="117">
        <f>SUM(E20:K20)</f>
        <v>0</v>
      </c>
      <c r="M20" s="1153"/>
      <c r="N20" s="1154"/>
      <c r="O20" s="1154"/>
      <c r="P20" s="1155"/>
      <c r="Q20" s="45"/>
      <c r="S20" s="389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2"/>
    </row>
    <row r="21" spans="2:32" ht="27" customHeight="1">
      <c r="B21" s="43"/>
      <c r="C21" s="126" t="s">
        <v>199</v>
      </c>
      <c r="D21" s="62" t="s">
        <v>257</v>
      </c>
      <c r="E21" s="117">
        <f t="shared" ref="E21:L21" si="2">SUM(E22:E25)</f>
        <v>-86923.67</v>
      </c>
      <c r="F21" s="117">
        <f t="shared" si="2"/>
        <v>0</v>
      </c>
      <c r="G21" s="117">
        <f t="shared" si="2"/>
        <v>0</v>
      </c>
      <c r="H21" s="117">
        <f t="shared" si="2"/>
        <v>0</v>
      </c>
      <c r="I21" s="117">
        <f t="shared" si="2"/>
        <v>0</v>
      </c>
      <c r="J21" s="117">
        <f t="shared" si="2"/>
        <v>0</v>
      </c>
      <c r="K21" s="117">
        <f t="shared" si="2"/>
        <v>0</v>
      </c>
      <c r="L21" s="117">
        <f t="shared" si="2"/>
        <v>-86923.67</v>
      </c>
      <c r="M21" s="1143"/>
      <c r="N21" s="1144"/>
      <c r="O21" s="1144"/>
      <c r="P21" s="1145"/>
      <c r="Q21" s="45"/>
      <c r="S21" s="389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2"/>
    </row>
    <row r="22" spans="2:32" ht="27" customHeight="1">
      <c r="B22" s="43"/>
      <c r="C22" s="128" t="s">
        <v>83</v>
      </c>
      <c r="D22" s="63" t="s">
        <v>258</v>
      </c>
      <c r="E22" s="118">
        <f>'FC-4_PASIVO'!E23</f>
        <v>0</v>
      </c>
      <c r="F22" s="430"/>
      <c r="G22" s="430"/>
      <c r="H22" s="430"/>
      <c r="I22" s="430"/>
      <c r="J22" s="430"/>
      <c r="K22" s="430"/>
      <c r="L22" s="118">
        <f>SUM(E22:K22)</f>
        <v>0</v>
      </c>
      <c r="M22" s="1156"/>
      <c r="N22" s="1157"/>
      <c r="O22" s="1157"/>
      <c r="P22" s="1158"/>
      <c r="Q22" s="45"/>
      <c r="S22" s="389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2"/>
    </row>
    <row r="23" spans="2:32" ht="27" customHeight="1">
      <c r="B23" s="43"/>
      <c r="C23" s="129" t="s">
        <v>90</v>
      </c>
      <c r="D23" s="64" t="s">
        <v>259</v>
      </c>
      <c r="E23" s="119">
        <f>'FC-4_PASIVO'!E24</f>
        <v>-86923.67</v>
      </c>
      <c r="F23" s="431"/>
      <c r="G23" s="431"/>
      <c r="H23" s="431"/>
      <c r="I23" s="431"/>
      <c r="J23" s="431"/>
      <c r="K23" s="431"/>
      <c r="L23" s="119">
        <f>SUM(E23:K23)</f>
        <v>-86923.67</v>
      </c>
      <c r="M23" s="1150"/>
      <c r="N23" s="1151"/>
      <c r="O23" s="1151"/>
      <c r="P23" s="1152"/>
      <c r="Q23" s="45"/>
      <c r="S23" s="389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2"/>
    </row>
    <row r="24" spans="2:32" ht="27" customHeight="1">
      <c r="B24" s="43"/>
      <c r="C24" s="129" t="s">
        <v>92</v>
      </c>
      <c r="D24" s="64" t="s">
        <v>260</v>
      </c>
      <c r="E24" s="119">
        <f>'FC-4_PASIVO'!E25</f>
        <v>0</v>
      </c>
      <c r="F24" s="431"/>
      <c r="G24" s="431"/>
      <c r="H24" s="431"/>
      <c r="I24" s="431"/>
      <c r="J24" s="431"/>
      <c r="K24" s="431"/>
      <c r="L24" s="119">
        <f>SUM(E24:K24)</f>
        <v>0</v>
      </c>
      <c r="M24" s="1150"/>
      <c r="N24" s="1151"/>
      <c r="O24" s="1151"/>
      <c r="P24" s="1152"/>
      <c r="Q24" s="45"/>
      <c r="S24" s="389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2"/>
    </row>
    <row r="25" spans="2:32" ht="27" customHeight="1">
      <c r="B25" s="43"/>
      <c r="C25" s="129" t="s">
        <v>94</v>
      </c>
      <c r="D25" s="64" t="s">
        <v>315</v>
      </c>
      <c r="E25" s="119">
        <f>'FC-4_PASIVO'!E26</f>
        <v>0</v>
      </c>
      <c r="F25" s="431"/>
      <c r="G25" s="431"/>
      <c r="H25" s="431"/>
      <c r="I25" s="431"/>
      <c r="J25" s="431"/>
      <c r="K25" s="431"/>
      <c r="L25" s="119">
        <f>SUM(E25:K25)</f>
        <v>0</v>
      </c>
      <c r="M25" s="1150"/>
      <c r="N25" s="1151"/>
      <c r="O25" s="1151"/>
      <c r="P25" s="1152"/>
      <c r="Q25" s="45"/>
      <c r="S25" s="389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2"/>
    </row>
    <row r="26" spans="2:32" ht="27" customHeight="1">
      <c r="B26" s="43"/>
      <c r="C26" s="126" t="s">
        <v>203</v>
      </c>
      <c r="D26" s="62" t="s">
        <v>261</v>
      </c>
      <c r="E26" s="117">
        <f>'FC-4_PASIVO'!E27</f>
        <v>0</v>
      </c>
      <c r="F26" s="432"/>
      <c r="G26" s="432"/>
      <c r="H26" s="432"/>
      <c r="I26" s="432"/>
      <c r="J26" s="432"/>
      <c r="K26" s="432"/>
      <c r="L26" s="117">
        <f>SUM(E26:K26)</f>
        <v>0</v>
      </c>
      <c r="M26" s="1153"/>
      <c r="N26" s="1154"/>
      <c r="O26" s="1154"/>
      <c r="P26" s="1155"/>
      <c r="Q26" s="45"/>
      <c r="S26" s="389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2"/>
    </row>
    <row r="27" spans="2:32" ht="27" customHeight="1">
      <c r="B27" s="43"/>
      <c r="C27" s="126" t="s">
        <v>211</v>
      </c>
      <c r="D27" s="62" t="s">
        <v>262</v>
      </c>
      <c r="E27" s="117">
        <f t="shared" ref="E27:L27" si="3">SUM(E28:E29)</f>
        <v>-10525560.18</v>
      </c>
      <c r="F27" s="117">
        <f t="shared" si="3"/>
        <v>0</v>
      </c>
      <c r="G27" s="117">
        <f t="shared" si="3"/>
        <v>0</v>
      </c>
      <c r="H27" s="117">
        <f t="shared" si="3"/>
        <v>0</v>
      </c>
      <c r="I27" s="117">
        <f t="shared" si="3"/>
        <v>-1185319.03</v>
      </c>
      <c r="J27" s="117">
        <f t="shared" si="3"/>
        <v>0</v>
      </c>
      <c r="K27" s="117">
        <f t="shared" si="3"/>
        <v>0</v>
      </c>
      <c r="L27" s="117">
        <f t="shared" si="3"/>
        <v>-11710879.209999999</v>
      </c>
      <c r="M27" s="1143"/>
      <c r="N27" s="1144"/>
      <c r="O27" s="1144"/>
      <c r="P27" s="1145"/>
      <c r="Q27" s="45"/>
      <c r="S27" s="389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2"/>
    </row>
    <row r="28" spans="2:32" ht="27" customHeight="1">
      <c r="B28" s="43"/>
      <c r="C28" s="128" t="s">
        <v>83</v>
      </c>
      <c r="D28" s="63" t="s">
        <v>263</v>
      </c>
      <c r="E28" s="118">
        <f>'FC-4_PASIVO'!E29</f>
        <v>1458.19</v>
      </c>
      <c r="F28" s="430"/>
      <c r="G28" s="430"/>
      <c r="H28" s="430"/>
      <c r="I28" s="430"/>
      <c r="J28" s="430"/>
      <c r="K28" s="430"/>
      <c r="L28" s="118">
        <f t="shared" ref="L28:L33" si="4">SUM(E28:K28)</f>
        <v>1458.19</v>
      </c>
      <c r="M28" s="1156"/>
      <c r="N28" s="1157"/>
      <c r="O28" s="1157"/>
      <c r="P28" s="1158"/>
      <c r="Q28" s="45"/>
      <c r="S28" s="389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2"/>
    </row>
    <row r="29" spans="2:32" ht="27" customHeight="1">
      <c r="B29" s="43"/>
      <c r="C29" s="129" t="s">
        <v>90</v>
      </c>
      <c r="D29" s="64" t="s">
        <v>264</v>
      </c>
      <c r="E29" s="119">
        <f>'FC-4_PASIVO'!E30</f>
        <v>-10527018.369999999</v>
      </c>
      <c r="F29" s="431"/>
      <c r="G29" s="431"/>
      <c r="H29" s="431"/>
      <c r="I29" s="431">
        <v>-1185319.03</v>
      </c>
      <c r="J29" s="431"/>
      <c r="K29" s="431"/>
      <c r="L29" s="119">
        <f t="shared" si="4"/>
        <v>-11712337.399999999</v>
      </c>
      <c r="M29" s="1150"/>
      <c r="N29" s="1151"/>
      <c r="O29" s="1151"/>
      <c r="P29" s="1152"/>
      <c r="Q29" s="45"/>
      <c r="S29" s="399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1"/>
    </row>
    <row r="30" spans="2:32" ht="27" customHeight="1">
      <c r="B30" s="43"/>
      <c r="C30" s="126" t="s">
        <v>214</v>
      </c>
      <c r="D30" s="62" t="s">
        <v>265</v>
      </c>
      <c r="E30" s="117">
        <f>'FC-4_PASIVO'!E31</f>
        <v>11738747.279999999</v>
      </c>
      <c r="F30" s="432"/>
      <c r="G30" s="432"/>
      <c r="H30" s="432">
        <f>13091997.98-11738747.28</f>
        <v>1353250.7000000011</v>
      </c>
      <c r="I30" s="432"/>
      <c r="J30" s="432"/>
      <c r="K30" s="432"/>
      <c r="L30" s="117">
        <f t="shared" si="4"/>
        <v>13091997.98</v>
      </c>
      <c r="M30" s="1153"/>
      <c r="N30" s="1154"/>
      <c r="O30" s="1154"/>
      <c r="P30" s="1155"/>
      <c r="Q30" s="45"/>
      <c r="S30" s="399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1"/>
    </row>
    <row r="31" spans="2:32" ht="27" customHeight="1">
      <c r="B31" s="43"/>
      <c r="C31" s="126" t="s">
        <v>216</v>
      </c>
      <c r="D31" s="62" t="s">
        <v>266</v>
      </c>
      <c r="E31" s="117">
        <f>'FC-4_PASIVO'!E32</f>
        <v>-1185319.03</v>
      </c>
      <c r="F31" s="432"/>
      <c r="G31" s="432"/>
      <c r="H31" s="432"/>
      <c r="I31" s="432">
        <v>1185319.03</v>
      </c>
      <c r="J31" s="432"/>
      <c r="K31" s="432">
        <v>-1095326.42</v>
      </c>
      <c r="L31" s="117">
        <f t="shared" si="4"/>
        <v>-1095326.42</v>
      </c>
      <c r="M31" s="1143"/>
      <c r="N31" s="1144"/>
      <c r="O31" s="1144"/>
      <c r="P31" s="1145"/>
      <c r="Q31" s="45"/>
      <c r="S31" s="389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2"/>
    </row>
    <row r="32" spans="2:32" ht="27" customHeight="1">
      <c r="B32" s="43"/>
      <c r="C32" s="126" t="s">
        <v>267</v>
      </c>
      <c r="D32" s="62" t="s">
        <v>268</v>
      </c>
      <c r="E32" s="117">
        <f>'FC-4_PASIVO'!E33</f>
        <v>0</v>
      </c>
      <c r="F32" s="432"/>
      <c r="G32" s="432"/>
      <c r="H32" s="432"/>
      <c r="I32" s="432"/>
      <c r="J32" s="432"/>
      <c r="K32" s="432"/>
      <c r="L32" s="117">
        <f t="shared" si="4"/>
        <v>0</v>
      </c>
      <c r="M32" s="1143"/>
      <c r="N32" s="1144"/>
      <c r="O32" s="1144"/>
      <c r="P32" s="1145"/>
      <c r="Q32" s="45"/>
      <c r="S32" s="389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2"/>
    </row>
    <row r="33" spans="2:32" ht="27" customHeight="1">
      <c r="B33" s="43"/>
      <c r="C33" s="126" t="s">
        <v>269</v>
      </c>
      <c r="D33" s="62" t="s">
        <v>270</v>
      </c>
      <c r="E33" s="117">
        <f>'FC-4_PASIVO'!E34</f>
        <v>0</v>
      </c>
      <c r="F33" s="432"/>
      <c r="G33" s="432"/>
      <c r="H33" s="432"/>
      <c r="I33" s="432"/>
      <c r="J33" s="432"/>
      <c r="K33" s="432"/>
      <c r="L33" s="117">
        <f t="shared" si="4"/>
        <v>0</v>
      </c>
      <c r="M33" s="1143"/>
      <c r="N33" s="1144"/>
      <c r="O33" s="1144"/>
      <c r="P33" s="1145"/>
      <c r="Q33" s="45"/>
      <c r="S33" s="389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2"/>
    </row>
    <row r="34" spans="2:32" ht="27" customHeight="1">
      <c r="B34" s="43"/>
      <c r="C34" s="133"/>
      <c r="D34" s="1"/>
      <c r="E34" s="1069"/>
      <c r="F34" s="1069"/>
      <c r="G34" s="1069"/>
      <c r="H34" s="1069"/>
      <c r="I34" s="1069"/>
      <c r="J34" s="1069"/>
      <c r="K34" s="1069"/>
      <c r="L34" s="1069"/>
      <c r="M34" s="1069"/>
      <c r="N34" s="1069"/>
      <c r="O34" s="1069"/>
      <c r="P34" s="1070"/>
      <c r="Q34" s="45"/>
      <c r="S34" s="389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2"/>
    </row>
    <row r="35" spans="2:32" ht="27" customHeight="1">
      <c r="B35" s="43"/>
      <c r="C35" s="1146">
        <f>ejercicio</f>
        <v>2019</v>
      </c>
      <c r="D35" s="1148" t="s">
        <v>983</v>
      </c>
      <c r="E35" s="196" t="str">
        <f>+L13</f>
        <v>Saldo final 31-12</v>
      </c>
      <c r="F35" s="196" t="s">
        <v>976</v>
      </c>
      <c r="G35" s="196" t="s">
        <v>977</v>
      </c>
      <c r="H35" s="196" t="s">
        <v>976</v>
      </c>
      <c r="I35" s="1066" t="s">
        <v>980</v>
      </c>
      <c r="J35" s="1066" t="s">
        <v>981</v>
      </c>
      <c r="K35" s="1066" t="s">
        <v>1004</v>
      </c>
      <c r="L35" s="196" t="s">
        <v>982</v>
      </c>
      <c r="M35" s="1159"/>
      <c r="N35" s="1160"/>
      <c r="O35" s="1160"/>
      <c r="P35" s="1161"/>
      <c r="Q35" s="45"/>
      <c r="S35" s="389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2"/>
    </row>
    <row r="36" spans="2:32" ht="27" customHeight="1">
      <c r="B36" s="43"/>
      <c r="C36" s="1147"/>
      <c r="D36" s="1149"/>
      <c r="E36" s="199">
        <f>+L14</f>
        <v>2018</v>
      </c>
      <c r="F36" s="763" t="s">
        <v>253</v>
      </c>
      <c r="G36" s="763" t="s">
        <v>253</v>
      </c>
      <c r="H36" s="763" t="s">
        <v>979</v>
      </c>
      <c r="I36" s="1067" t="s">
        <v>978</v>
      </c>
      <c r="J36" s="1068" t="s">
        <v>985</v>
      </c>
      <c r="K36" s="1067" t="s">
        <v>1005</v>
      </c>
      <c r="L36" s="199">
        <f>ejercicio</f>
        <v>2019</v>
      </c>
      <c r="M36" s="1162" t="s">
        <v>1006</v>
      </c>
      <c r="N36" s="1163"/>
      <c r="O36" s="1163"/>
      <c r="P36" s="1164"/>
      <c r="Q36" s="45"/>
      <c r="S36" s="389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2"/>
    </row>
    <row r="37" spans="2:32" ht="27" customHeight="1">
      <c r="B37" s="43"/>
      <c r="C37" s="122"/>
      <c r="D37" s="78"/>
      <c r="E37" s="115"/>
      <c r="F37" s="115"/>
      <c r="G37" s="115"/>
      <c r="H37" s="115"/>
      <c r="I37" s="115"/>
      <c r="J37" s="115"/>
      <c r="K37" s="115"/>
      <c r="L37" s="115"/>
      <c r="M37" s="1165"/>
      <c r="N37" s="1166"/>
      <c r="O37" s="1166"/>
      <c r="P37" s="1167"/>
      <c r="Q37" s="45"/>
      <c r="S37" s="389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2"/>
    </row>
    <row r="38" spans="2:32" ht="27" customHeight="1">
      <c r="B38" s="43"/>
      <c r="C38" s="124" t="s">
        <v>131</v>
      </c>
      <c r="D38" s="76" t="s">
        <v>252</v>
      </c>
      <c r="E38" s="116">
        <f t="shared" ref="E38:L38" si="5">+E39+E42+E43+E48+E49+E52+E53+E54+E55</f>
        <v>198868.68000000156</v>
      </c>
      <c r="F38" s="116">
        <f t="shared" si="5"/>
        <v>0</v>
      </c>
      <c r="G38" s="116">
        <f t="shared" si="5"/>
        <v>0</v>
      </c>
      <c r="H38" s="116">
        <f t="shared" si="5"/>
        <v>1380732.18</v>
      </c>
      <c r="I38" s="116">
        <f t="shared" si="5"/>
        <v>0</v>
      </c>
      <c r="J38" s="116">
        <f t="shared" si="5"/>
        <v>0</v>
      </c>
      <c r="K38" s="116">
        <f t="shared" si="5"/>
        <v>-1380732.18</v>
      </c>
      <c r="L38" s="116">
        <f t="shared" si="5"/>
        <v>198868.68000000133</v>
      </c>
      <c r="M38" s="1168"/>
      <c r="N38" s="1169"/>
      <c r="O38" s="1169"/>
      <c r="P38" s="1170"/>
      <c r="Q38" s="45"/>
      <c r="S38" s="389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2"/>
    </row>
    <row r="39" spans="2:32" ht="27" customHeight="1">
      <c r="B39" s="43"/>
      <c r="C39" s="126" t="s">
        <v>184</v>
      </c>
      <c r="D39" s="62" t="s">
        <v>253</v>
      </c>
      <c r="E39" s="117">
        <f t="shared" ref="E39:L39" si="6">SUM(E40:E41)</f>
        <v>0</v>
      </c>
      <c r="F39" s="117">
        <f t="shared" si="6"/>
        <v>0</v>
      </c>
      <c r="G39" s="117">
        <f t="shared" si="6"/>
        <v>0</v>
      </c>
      <c r="H39" s="117">
        <f t="shared" si="6"/>
        <v>0</v>
      </c>
      <c r="I39" s="117">
        <f t="shared" si="6"/>
        <v>0</v>
      </c>
      <c r="J39" s="117">
        <f t="shared" si="6"/>
        <v>0</v>
      </c>
      <c r="K39" s="117">
        <f t="shared" si="6"/>
        <v>0</v>
      </c>
      <c r="L39" s="117">
        <f t="shared" si="6"/>
        <v>0</v>
      </c>
      <c r="M39" s="1143"/>
      <c r="N39" s="1144"/>
      <c r="O39" s="1144"/>
      <c r="P39" s="1145"/>
      <c r="Q39" s="45"/>
      <c r="S39" s="389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2"/>
    </row>
    <row r="40" spans="2:32" ht="27" customHeight="1">
      <c r="B40" s="43"/>
      <c r="C40" s="128" t="s">
        <v>83</v>
      </c>
      <c r="D40" s="63" t="s">
        <v>254</v>
      </c>
      <c r="E40" s="118">
        <f>+L18</f>
        <v>0</v>
      </c>
      <c r="F40" s="430"/>
      <c r="G40" s="430"/>
      <c r="H40" s="430"/>
      <c r="I40" s="430"/>
      <c r="J40" s="430"/>
      <c r="K40" s="430"/>
      <c r="L40" s="118">
        <f>SUM(E40:K40)</f>
        <v>0</v>
      </c>
      <c r="M40" s="1156"/>
      <c r="N40" s="1157"/>
      <c r="O40" s="1157"/>
      <c r="P40" s="1158"/>
      <c r="Q40" s="45"/>
      <c r="S40" s="389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2"/>
    </row>
    <row r="41" spans="2:32" ht="27" customHeight="1">
      <c r="B41" s="43"/>
      <c r="C41" s="129" t="s">
        <v>90</v>
      </c>
      <c r="D41" s="64" t="s">
        <v>255</v>
      </c>
      <c r="E41" s="119">
        <f>+L19</f>
        <v>0</v>
      </c>
      <c r="F41" s="431"/>
      <c r="G41" s="431"/>
      <c r="H41" s="431"/>
      <c r="I41" s="431"/>
      <c r="J41" s="431"/>
      <c r="K41" s="431"/>
      <c r="L41" s="119">
        <f>SUM(E41:K41)</f>
        <v>0</v>
      </c>
      <c r="M41" s="1150"/>
      <c r="N41" s="1151"/>
      <c r="O41" s="1151"/>
      <c r="P41" s="1152"/>
      <c r="Q41" s="45"/>
      <c r="S41" s="389"/>
      <c r="T41" s="391"/>
      <c r="U41" s="391"/>
      <c r="V41" s="391"/>
      <c r="W41" s="391"/>
      <c r="X41" s="391"/>
      <c r="Y41" s="391"/>
      <c r="Z41" s="391"/>
      <c r="AA41" s="391"/>
      <c r="AB41" s="391"/>
      <c r="AC41" s="391"/>
      <c r="AD41" s="391"/>
      <c r="AE41" s="391"/>
      <c r="AF41" s="392"/>
    </row>
    <row r="42" spans="2:32" ht="27" customHeight="1">
      <c r="B42" s="43"/>
      <c r="C42" s="126" t="s">
        <v>194</v>
      </c>
      <c r="D42" s="62" t="s">
        <v>256</v>
      </c>
      <c r="E42" s="117">
        <f>+L20</f>
        <v>0</v>
      </c>
      <c r="F42" s="432"/>
      <c r="G42" s="432"/>
      <c r="H42" s="432"/>
      <c r="I42" s="432"/>
      <c r="J42" s="432"/>
      <c r="K42" s="432"/>
      <c r="L42" s="117">
        <f>SUM(E42:K42)</f>
        <v>0</v>
      </c>
      <c r="M42" s="1153"/>
      <c r="N42" s="1154"/>
      <c r="O42" s="1154"/>
      <c r="P42" s="1155"/>
      <c r="Q42" s="45"/>
      <c r="S42" s="389"/>
      <c r="T42" s="391"/>
      <c r="U42" s="391"/>
      <c r="V42" s="391"/>
      <c r="W42" s="391"/>
      <c r="X42" s="391"/>
      <c r="Y42" s="391"/>
      <c r="Z42" s="391"/>
      <c r="AA42" s="391"/>
      <c r="AB42" s="391"/>
      <c r="AC42" s="391"/>
      <c r="AD42" s="391"/>
      <c r="AE42" s="391"/>
      <c r="AF42" s="392"/>
    </row>
    <row r="43" spans="2:32" ht="27" customHeight="1">
      <c r="B43" s="43"/>
      <c r="C43" s="126" t="s">
        <v>199</v>
      </c>
      <c r="D43" s="62" t="s">
        <v>257</v>
      </c>
      <c r="E43" s="117">
        <f t="shared" ref="E43:L43" si="7">SUM(E44:E47)</f>
        <v>-86923.67</v>
      </c>
      <c r="F43" s="117">
        <f t="shared" si="7"/>
        <v>0</v>
      </c>
      <c r="G43" s="117">
        <f t="shared" si="7"/>
        <v>0</v>
      </c>
      <c r="H43" s="117">
        <f t="shared" si="7"/>
        <v>0</v>
      </c>
      <c r="I43" s="117">
        <f t="shared" si="7"/>
        <v>0</v>
      </c>
      <c r="J43" s="117">
        <f t="shared" si="7"/>
        <v>0</v>
      </c>
      <c r="K43" s="117">
        <f t="shared" si="7"/>
        <v>0</v>
      </c>
      <c r="L43" s="117">
        <f t="shared" si="7"/>
        <v>-86923.67</v>
      </c>
      <c r="M43" s="1143"/>
      <c r="N43" s="1144"/>
      <c r="O43" s="1144"/>
      <c r="P43" s="1145"/>
      <c r="Q43" s="45"/>
      <c r="S43" s="389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2"/>
    </row>
    <row r="44" spans="2:32" ht="27" customHeight="1">
      <c r="B44" s="43"/>
      <c r="C44" s="128" t="s">
        <v>83</v>
      </c>
      <c r="D44" s="63" t="s">
        <v>258</v>
      </c>
      <c r="E44" s="118">
        <f>+L22</f>
        <v>0</v>
      </c>
      <c r="F44" s="430"/>
      <c r="G44" s="430"/>
      <c r="H44" s="430"/>
      <c r="I44" s="430"/>
      <c r="J44" s="430"/>
      <c r="K44" s="430"/>
      <c r="L44" s="118">
        <f>SUM(E44:K44)</f>
        <v>0</v>
      </c>
      <c r="M44" s="1156"/>
      <c r="N44" s="1157"/>
      <c r="O44" s="1157"/>
      <c r="P44" s="1158"/>
      <c r="Q44" s="45"/>
      <c r="S44" s="389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2"/>
    </row>
    <row r="45" spans="2:32" ht="27" customHeight="1">
      <c r="B45" s="43"/>
      <c r="C45" s="129" t="s">
        <v>90</v>
      </c>
      <c r="D45" s="64" t="s">
        <v>259</v>
      </c>
      <c r="E45" s="119">
        <f>+L23</f>
        <v>-86923.67</v>
      </c>
      <c r="F45" s="431"/>
      <c r="G45" s="431"/>
      <c r="H45" s="431"/>
      <c r="I45" s="431"/>
      <c r="J45" s="431"/>
      <c r="K45" s="431"/>
      <c r="L45" s="119">
        <f>SUM(E45:K45)</f>
        <v>-86923.67</v>
      </c>
      <c r="M45" s="1150"/>
      <c r="N45" s="1151"/>
      <c r="O45" s="1151"/>
      <c r="P45" s="1152"/>
      <c r="Q45" s="45"/>
      <c r="S45" s="389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2"/>
    </row>
    <row r="46" spans="2:32" ht="27" customHeight="1">
      <c r="B46" s="43"/>
      <c r="C46" s="129" t="s">
        <v>92</v>
      </c>
      <c r="D46" s="64" t="s">
        <v>260</v>
      </c>
      <c r="E46" s="119">
        <f>+L24</f>
        <v>0</v>
      </c>
      <c r="F46" s="431"/>
      <c r="G46" s="431"/>
      <c r="H46" s="431"/>
      <c r="I46" s="431"/>
      <c r="J46" s="431"/>
      <c r="K46" s="431"/>
      <c r="L46" s="119">
        <f>SUM(E46:K46)</f>
        <v>0</v>
      </c>
      <c r="M46" s="1150"/>
      <c r="N46" s="1151"/>
      <c r="O46" s="1151"/>
      <c r="P46" s="1152"/>
      <c r="Q46" s="45"/>
      <c r="S46" s="389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2"/>
    </row>
    <row r="47" spans="2:32" ht="27" customHeight="1">
      <c r="B47" s="43"/>
      <c r="C47" s="129" t="s">
        <v>94</v>
      </c>
      <c r="D47" s="64" t="s">
        <v>315</v>
      </c>
      <c r="E47" s="119">
        <f>+L25</f>
        <v>0</v>
      </c>
      <c r="F47" s="431"/>
      <c r="G47" s="431"/>
      <c r="H47" s="431"/>
      <c r="I47" s="431"/>
      <c r="J47" s="431"/>
      <c r="K47" s="431"/>
      <c r="L47" s="119">
        <f>SUM(E47:K47)</f>
        <v>0</v>
      </c>
      <c r="M47" s="1150"/>
      <c r="N47" s="1151"/>
      <c r="O47" s="1151"/>
      <c r="P47" s="1152"/>
      <c r="Q47" s="45"/>
      <c r="S47" s="389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2"/>
    </row>
    <row r="48" spans="2:32" ht="27" customHeight="1">
      <c r="B48" s="43"/>
      <c r="C48" s="126" t="s">
        <v>203</v>
      </c>
      <c r="D48" s="62" t="s">
        <v>261</v>
      </c>
      <c r="E48" s="117">
        <f>+L26</f>
        <v>0</v>
      </c>
      <c r="F48" s="432"/>
      <c r="G48" s="432"/>
      <c r="H48" s="432"/>
      <c r="I48" s="432"/>
      <c r="J48" s="432"/>
      <c r="K48" s="432"/>
      <c r="L48" s="117">
        <f>SUM(E48:K48)</f>
        <v>0</v>
      </c>
      <c r="M48" s="1153"/>
      <c r="N48" s="1154"/>
      <c r="O48" s="1154"/>
      <c r="P48" s="1155"/>
      <c r="Q48" s="45"/>
      <c r="S48" s="389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2"/>
    </row>
    <row r="49" spans="2:32" ht="27" customHeight="1">
      <c r="B49" s="43"/>
      <c r="C49" s="126" t="s">
        <v>211</v>
      </c>
      <c r="D49" s="62" t="s">
        <v>262</v>
      </c>
      <c r="E49" s="117">
        <f t="shared" ref="E49:L49" si="8">SUM(E50:E51)</f>
        <v>-11710879.209999999</v>
      </c>
      <c r="F49" s="117">
        <f t="shared" si="8"/>
        <v>0</v>
      </c>
      <c r="G49" s="117">
        <f t="shared" si="8"/>
        <v>0</v>
      </c>
      <c r="H49" s="117">
        <f t="shared" si="8"/>
        <v>0</v>
      </c>
      <c r="I49" s="117">
        <f t="shared" si="8"/>
        <v>-1095326.42</v>
      </c>
      <c r="J49" s="117">
        <f t="shared" si="8"/>
        <v>0</v>
      </c>
      <c r="K49" s="117">
        <f t="shared" si="8"/>
        <v>0</v>
      </c>
      <c r="L49" s="117">
        <f t="shared" si="8"/>
        <v>-12806205.629999999</v>
      </c>
      <c r="M49" s="1143"/>
      <c r="N49" s="1144"/>
      <c r="O49" s="1144"/>
      <c r="P49" s="1145"/>
      <c r="Q49" s="45"/>
      <c r="S49" s="389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2"/>
    </row>
    <row r="50" spans="2:32" ht="27" customHeight="1">
      <c r="B50" s="43"/>
      <c r="C50" s="128" t="s">
        <v>83</v>
      </c>
      <c r="D50" s="63" t="s">
        <v>263</v>
      </c>
      <c r="E50" s="118">
        <f t="shared" ref="E50:E55" si="9">+L28</f>
        <v>1458.19</v>
      </c>
      <c r="F50" s="430"/>
      <c r="G50" s="430"/>
      <c r="H50" s="430"/>
      <c r="I50" s="430"/>
      <c r="J50" s="430"/>
      <c r="K50" s="430"/>
      <c r="L50" s="118">
        <f t="shared" ref="L50:L55" si="10">SUM(E50:K50)</f>
        <v>1458.19</v>
      </c>
      <c r="M50" s="1156"/>
      <c r="N50" s="1157"/>
      <c r="O50" s="1157"/>
      <c r="P50" s="1158"/>
      <c r="Q50" s="45"/>
      <c r="S50" s="389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2"/>
    </row>
    <row r="51" spans="2:32" ht="27" customHeight="1">
      <c r="B51" s="43"/>
      <c r="C51" s="129" t="s">
        <v>90</v>
      </c>
      <c r="D51" s="64" t="s">
        <v>264</v>
      </c>
      <c r="E51" s="119">
        <f t="shared" si="9"/>
        <v>-11712337.399999999</v>
      </c>
      <c r="F51" s="431"/>
      <c r="G51" s="431"/>
      <c r="H51" s="431"/>
      <c r="I51" s="431">
        <v>-1095326.42</v>
      </c>
      <c r="J51" s="431"/>
      <c r="K51" s="431"/>
      <c r="L51" s="119">
        <f t="shared" si="10"/>
        <v>-12807663.819999998</v>
      </c>
      <c r="M51" s="1150"/>
      <c r="N51" s="1151"/>
      <c r="O51" s="1151"/>
      <c r="P51" s="1152"/>
      <c r="Q51" s="45"/>
      <c r="S51" s="389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2"/>
    </row>
    <row r="52" spans="2:32" ht="27" customHeight="1">
      <c r="B52" s="43"/>
      <c r="C52" s="126" t="s">
        <v>214</v>
      </c>
      <c r="D52" s="62" t="s">
        <v>265</v>
      </c>
      <c r="E52" s="117">
        <f t="shared" si="9"/>
        <v>13091997.98</v>
      </c>
      <c r="F52" s="432"/>
      <c r="G52" s="432"/>
      <c r="H52" s="432">
        <v>1380732.18</v>
      </c>
      <c r="I52" s="432"/>
      <c r="J52" s="432"/>
      <c r="K52" s="432"/>
      <c r="L52" s="117">
        <f t="shared" si="10"/>
        <v>14472730.16</v>
      </c>
      <c r="M52" s="1153"/>
      <c r="N52" s="1154"/>
      <c r="O52" s="1154"/>
      <c r="P52" s="1155"/>
      <c r="Q52" s="45"/>
      <c r="S52" s="389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2"/>
    </row>
    <row r="53" spans="2:32" ht="27" customHeight="1">
      <c r="B53" s="43"/>
      <c r="C53" s="126" t="s">
        <v>216</v>
      </c>
      <c r="D53" s="62" t="s">
        <v>266</v>
      </c>
      <c r="E53" s="117">
        <f t="shared" si="9"/>
        <v>-1095326.42</v>
      </c>
      <c r="F53" s="432"/>
      <c r="G53" s="432"/>
      <c r="H53" s="432"/>
      <c r="I53" s="432">
        <v>1095326.42</v>
      </c>
      <c r="J53" s="432"/>
      <c r="K53" s="432">
        <v>-1380732.18</v>
      </c>
      <c r="L53" s="117">
        <f t="shared" si="10"/>
        <v>-1380732.18</v>
      </c>
      <c r="M53" s="1143"/>
      <c r="N53" s="1144"/>
      <c r="O53" s="1144"/>
      <c r="P53" s="1145"/>
      <c r="Q53" s="45"/>
      <c r="S53" s="389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2"/>
    </row>
    <row r="54" spans="2:32" ht="27" customHeight="1">
      <c r="B54" s="43"/>
      <c r="C54" s="126" t="s">
        <v>267</v>
      </c>
      <c r="D54" s="62" t="s">
        <v>268</v>
      </c>
      <c r="E54" s="117">
        <f t="shared" si="9"/>
        <v>0</v>
      </c>
      <c r="F54" s="432"/>
      <c r="G54" s="432"/>
      <c r="H54" s="432"/>
      <c r="I54" s="432"/>
      <c r="J54" s="432"/>
      <c r="K54" s="432"/>
      <c r="L54" s="117">
        <f t="shared" si="10"/>
        <v>0</v>
      </c>
      <c r="M54" s="1143"/>
      <c r="N54" s="1144"/>
      <c r="O54" s="1144"/>
      <c r="P54" s="1145"/>
      <c r="Q54" s="45"/>
      <c r="S54" s="389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2"/>
    </row>
    <row r="55" spans="2:32" ht="27" customHeight="1">
      <c r="B55" s="43"/>
      <c r="C55" s="126" t="s">
        <v>269</v>
      </c>
      <c r="D55" s="62" t="s">
        <v>270</v>
      </c>
      <c r="E55" s="117">
        <f t="shared" si="9"/>
        <v>0</v>
      </c>
      <c r="F55" s="432"/>
      <c r="G55" s="432"/>
      <c r="H55" s="432"/>
      <c r="I55" s="432"/>
      <c r="J55" s="432"/>
      <c r="K55" s="432"/>
      <c r="L55" s="117">
        <f t="shared" si="10"/>
        <v>0</v>
      </c>
      <c r="M55" s="1143"/>
      <c r="N55" s="1144"/>
      <c r="O55" s="1144"/>
      <c r="P55" s="1145"/>
      <c r="Q55" s="45"/>
      <c r="S55" s="389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2"/>
    </row>
    <row r="56" spans="2:32" ht="27" customHeight="1">
      <c r="B56" s="43"/>
      <c r="C56" s="133"/>
      <c r="D56" s="1"/>
      <c r="E56" s="1069"/>
      <c r="F56" s="1069"/>
      <c r="G56" s="1069"/>
      <c r="H56" s="1069"/>
      <c r="I56" s="1069"/>
      <c r="J56" s="1069"/>
      <c r="K56" s="1069"/>
      <c r="L56" s="1069"/>
      <c r="M56" s="1069"/>
      <c r="N56" s="1069"/>
      <c r="O56" s="1069"/>
      <c r="P56" s="1070"/>
      <c r="Q56" s="45"/>
      <c r="S56" s="389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2"/>
    </row>
    <row r="57" spans="2:32" ht="23.1" customHeight="1" thickBot="1">
      <c r="B57" s="43"/>
      <c r="C57" s="135"/>
      <c r="D57" s="71"/>
      <c r="E57" s="1071"/>
      <c r="F57" s="1071"/>
      <c r="G57" s="1071"/>
      <c r="H57" s="1071"/>
      <c r="I57" s="1071"/>
      <c r="J57" s="1071"/>
      <c r="K57" s="1071"/>
      <c r="L57" s="1071"/>
      <c r="M57" s="1071"/>
      <c r="N57" s="1071"/>
      <c r="O57" s="1071"/>
      <c r="P57" s="297"/>
      <c r="Q57" s="45"/>
      <c r="S57" s="402"/>
      <c r="T57" s="403"/>
      <c r="U57" s="403"/>
      <c r="V57" s="403"/>
      <c r="W57" s="403"/>
      <c r="X57" s="403"/>
      <c r="Y57" s="403"/>
      <c r="Z57" s="403"/>
      <c r="AA57" s="403"/>
      <c r="AB57" s="403"/>
      <c r="AC57" s="403"/>
      <c r="AD57" s="403"/>
      <c r="AE57" s="403"/>
      <c r="AF57" s="404"/>
    </row>
    <row r="58" spans="2:32" ht="23.1" customHeight="1" thickBot="1">
      <c r="B58" s="47"/>
      <c r="C58" s="1116"/>
      <c r="D58" s="1116"/>
      <c r="E58" s="1116"/>
      <c r="F58" s="1116"/>
      <c r="G58" s="1116"/>
      <c r="H58" s="1116"/>
      <c r="I58" s="1116"/>
      <c r="J58" s="1116"/>
      <c r="K58" s="1116"/>
      <c r="L58" s="1116"/>
      <c r="M58" s="1116"/>
      <c r="N58" s="1116"/>
      <c r="O58" s="1116"/>
      <c r="P58" s="49"/>
      <c r="Q58" s="50"/>
      <c r="S58" s="405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6"/>
      <c r="AE58" s="406"/>
      <c r="AF58" s="407"/>
    </row>
    <row r="59" spans="2:32" ht="23.1" customHeight="1">
      <c r="R59" s="38" t="s">
        <v>951</v>
      </c>
    </row>
    <row r="60" spans="2:32" ht="12.75">
      <c r="C60" s="34" t="s">
        <v>72</v>
      </c>
      <c r="P60" s="37" t="s">
        <v>984</v>
      </c>
    </row>
    <row r="61" spans="2:32" ht="12.75">
      <c r="C61" s="34" t="s">
        <v>73</v>
      </c>
    </row>
    <row r="62" spans="2:32" ht="12.75">
      <c r="C62" s="34" t="s">
        <v>74</v>
      </c>
    </row>
    <row r="63" spans="2:32" ht="12.75">
      <c r="C63" s="34" t="s">
        <v>75</v>
      </c>
    </row>
    <row r="64" spans="2:32" ht="12.75">
      <c r="C64" s="34" t="s">
        <v>76</v>
      </c>
    </row>
    <row r="65" spans="5:16" ht="23.1" customHeight="1">
      <c r="E65" s="653"/>
      <c r="F65" s="653"/>
      <c r="G65" s="653"/>
      <c r="H65" s="653"/>
      <c r="I65" s="653"/>
      <c r="J65" s="653"/>
      <c r="K65" s="653"/>
      <c r="L65" s="653"/>
      <c r="M65" s="653"/>
      <c r="N65" s="653"/>
      <c r="O65" s="653" t="str">
        <f>IF(_CHECK_LIST!K15&gt;0,"Revisa","")</f>
        <v/>
      </c>
      <c r="P65" s="653" t="str">
        <f>IF(_CHECK_LIST!L15&gt;0,"Revisa","")</f>
        <v/>
      </c>
    </row>
    <row r="68" spans="5:16" ht="12.75"/>
    <row r="69" spans="5:16" ht="12.75"/>
  </sheetData>
  <sheetProtection password="C494" sheet="1" objects="1" scenarios="1"/>
  <mergeCells count="47">
    <mergeCell ref="P6:P7"/>
    <mergeCell ref="D9:P9"/>
    <mergeCell ref="C58:O58"/>
    <mergeCell ref="M14:P14"/>
    <mergeCell ref="M13:P13"/>
    <mergeCell ref="M15:P16"/>
    <mergeCell ref="M17:P17"/>
    <mergeCell ref="M18:P18"/>
    <mergeCell ref="M19:P19"/>
    <mergeCell ref="M20:P20"/>
    <mergeCell ref="M32:P32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M30:P30"/>
    <mergeCell ref="M31:P31"/>
    <mergeCell ref="M44:P44"/>
    <mergeCell ref="M45:P45"/>
    <mergeCell ref="M46:P46"/>
    <mergeCell ref="M33:P33"/>
    <mergeCell ref="M35:P35"/>
    <mergeCell ref="M36:P36"/>
    <mergeCell ref="M37:P38"/>
    <mergeCell ref="M39:P39"/>
    <mergeCell ref="M40:P40"/>
    <mergeCell ref="M53:P53"/>
    <mergeCell ref="M54:P54"/>
    <mergeCell ref="M55:P55"/>
    <mergeCell ref="C35:C36"/>
    <mergeCell ref="C13:C14"/>
    <mergeCell ref="D13:D14"/>
    <mergeCell ref="D35:D36"/>
    <mergeCell ref="M47:P47"/>
    <mergeCell ref="M48:P48"/>
    <mergeCell ref="M49:P49"/>
    <mergeCell ref="M50:P50"/>
    <mergeCell ref="M51:P51"/>
    <mergeCell ref="M52:P52"/>
    <mergeCell ref="M41:P41"/>
    <mergeCell ref="M42:P42"/>
    <mergeCell ref="M43:P43"/>
  </mergeCells>
  <phoneticPr fontId="21" type="noConversion"/>
  <pageMargins left="0.75000000000000011" right="0.75000000000000011" top="1" bottom="1" header="0.5" footer="0.5"/>
  <pageSetup paperSize="9" scale="3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26</vt:i4>
      </vt:variant>
    </vt:vector>
  </HeadingPairs>
  <TitlesOfParts>
    <vt:vector size="50" baseType="lpstr">
      <vt:lpstr>_GENERAL</vt:lpstr>
      <vt:lpstr>_CHECK_LIST</vt:lpstr>
      <vt:lpstr>FC-1_ORGANOS_GOBIERNO</vt:lpstr>
      <vt:lpstr>FC-2_ACCIONISTAS</vt:lpstr>
      <vt:lpstr>FC-3_CPyG</vt:lpstr>
      <vt:lpstr>FC-3_1_INF_ADIC_CPyG</vt:lpstr>
      <vt:lpstr>FC-4_ACTIVO</vt:lpstr>
      <vt:lpstr>FC-4_PASIVO</vt:lpstr>
      <vt:lpstr>FC-4_1_MOV_FP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_FC-16_ESTAB_PRESUP</vt:lpstr>
      <vt:lpstr>FC-17_FINANCIACIÓN</vt:lpstr>
      <vt:lpstr>FC-90</vt:lpstr>
      <vt:lpstr>_FC-90_DETALLE</vt:lpstr>
      <vt:lpstr>_CHECK_LIST!Área_de_impresión</vt:lpstr>
      <vt:lpstr>'_FC-16_ESTAB_PRESUP'!Área_de_impresión</vt:lpstr>
      <vt:lpstr>_GENERAL!Área_de_impresión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'FC-17_FINANCIACIÓN'!Área_de_impresión</vt:lpstr>
      <vt:lpstr>'FC-2_ACCIONISTAS'!Área_de_impresión</vt:lpstr>
      <vt:lpstr>'FC-3_1_INF_ADIC_CPyG'!Área_de_impresión</vt:lpstr>
      <vt:lpstr>'FC-3_CPyG'!Área_de_impresión</vt:lpstr>
      <vt:lpstr>'FC-4_1_MOV_FP'!Área_de_impresión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'FC-90'!Área_de_impresión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Jerónimo Cabrera Romero</cp:lastModifiedBy>
  <cp:lastPrinted>2018-10-29T11:59:34Z</cp:lastPrinted>
  <dcterms:created xsi:type="dcterms:W3CDTF">2017-09-18T15:25:23Z</dcterms:created>
  <dcterms:modified xsi:type="dcterms:W3CDTF">2019-04-04T13:00:21Z</dcterms:modified>
</cp:coreProperties>
</file>